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chabds01\CEHAB\DCPO\CELOE_II\PROCESSOS\PL 018.2025 - ETE CAETÉS\ESCLARECIMENTOS\"/>
    </mc:Choice>
  </mc:AlternateContent>
  <bookViews>
    <workbookView xWindow="0" yWindow="0" windowWidth="28800" windowHeight="11610" tabRatio="605"/>
  </bookViews>
  <sheets>
    <sheet name="ORÇAMENTO SINTETICO" sheetId="2" r:id="rId1"/>
    <sheet name="Memória" sheetId="3" state="hidden" r:id="rId2"/>
    <sheet name="CRONOGRAMA" sheetId="20" r:id="rId3"/>
    <sheet name="BDI" sheetId="5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C" localSheetId="1">[1]reforma!#REF!</definedName>
    <definedName name="\C">[1]reforma!#REF!</definedName>
    <definedName name="\D" localSheetId="1">[1]reforma!#REF!</definedName>
    <definedName name="\D">[1]reforma!#REF!</definedName>
    <definedName name="\G" localSheetId="1">[1]reforma!#REF!</definedName>
    <definedName name="\G">[1]reforma!#REF!</definedName>
    <definedName name="\I" localSheetId="1">[1]reforma!#REF!</definedName>
    <definedName name="\I">[1]reforma!#REF!</definedName>
    <definedName name="\l" localSheetId="1">#REF!</definedName>
    <definedName name="\l">#REF!</definedName>
    <definedName name="\M" localSheetId="1">[1]reforma!#REF!</definedName>
    <definedName name="\M">[1]reforma!#REF!</definedName>
    <definedName name="\P" localSheetId="1">[1]reforma!#REF!</definedName>
    <definedName name="\P">[1]reforma!#REF!</definedName>
    <definedName name="\q" localSheetId="1">#REF!</definedName>
    <definedName name="\q">#REF!</definedName>
    <definedName name="\R" localSheetId="1">[1]reforma!#REF!</definedName>
    <definedName name="\R">[1]reforma!#REF!</definedName>
    <definedName name="\s" localSheetId="1">#REF!</definedName>
    <definedName name="\s">#REF!</definedName>
    <definedName name="\t">#REF!</definedName>
    <definedName name="\Y" localSheetId="1">[1]reforma!#REF!</definedName>
    <definedName name="\Y">[1]reforma!#REF!</definedName>
    <definedName name="_" localSheetId="1">[1]reforma!#REF!</definedName>
    <definedName name="_">[1]reforma!#REF!</definedName>
    <definedName name="___\C" localSheetId="1">[1]reforma!#REF!</definedName>
    <definedName name="___\C">[1]reforma!#REF!</definedName>
    <definedName name="___\D" localSheetId="1">[1]reforma!#REF!</definedName>
    <definedName name="___\D">[1]reforma!#REF!</definedName>
    <definedName name="___\G" localSheetId="1">[1]reforma!#REF!</definedName>
    <definedName name="___\G">[1]reforma!#REF!</definedName>
    <definedName name="___\I" localSheetId="1">[1]reforma!#REF!</definedName>
    <definedName name="___\I">[1]reforma!#REF!</definedName>
    <definedName name="___\l" localSheetId="1">#REF!</definedName>
    <definedName name="___\l">#REF!</definedName>
    <definedName name="___\M" localSheetId="1">[1]reforma!#REF!</definedName>
    <definedName name="___\M">[1]reforma!#REF!</definedName>
    <definedName name="___\P" localSheetId="1">[1]reforma!#REF!</definedName>
    <definedName name="___\P">[1]reforma!#REF!</definedName>
    <definedName name="___\q" localSheetId="1">#REF!</definedName>
    <definedName name="___\q">#REF!</definedName>
    <definedName name="___\R" localSheetId="1">[1]reforma!#REF!</definedName>
    <definedName name="___\R">[1]reforma!#REF!</definedName>
    <definedName name="___\s" localSheetId="1">#REF!</definedName>
    <definedName name="___\s">#REF!</definedName>
    <definedName name="___\t" localSheetId="1">#REF!</definedName>
    <definedName name="___\t">#REF!</definedName>
    <definedName name="___\Y" localSheetId="1">[1]reforma!#REF!</definedName>
    <definedName name="___\Y">[1]reforma!#REF!</definedName>
    <definedName name="_____________________________________Ext2" localSheetId="1">#REF!</definedName>
    <definedName name="_____________________________________Ext2">#REF!</definedName>
    <definedName name="_________________________________CC709">#REF!</definedName>
    <definedName name="________________________________Ext2">#REF!</definedName>
    <definedName name="______________________________Ext2">#REF!</definedName>
    <definedName name="_____________________________PL1">#REF!</definedName>
    <definedName name="____________________________CC709">#REF!</definedName>
    <definedName name="____________________________PL1">#REF!</definedName>
    <definedName name="___________________________PL1">#REF!</definedName>
    <definedName name="__________________________PL1">#REF!</definedName>
    <definedName name="_________________________PL1">#REF!</definedName>
    <definedName name="________________________PL1">#REF!</definedName>
    <definedName name="_______________________PL1">#REF!</definedName>
    <definedName name="______________________PL1">#REF!</definedName>
    <definedName name="______________________r">#REF!</definedName>
    <definedName name="_____________________Ext2">#REF!</definedName>
    <definedName name="_____________________PL1">#REF!</definedName>
    <definedName name="_____________________r">#REF!</definedName>
    <definedName name="____________________Ext2">#REF!</definedName>
    <definedName name="____________________PL1">#REF!</definedName>
    <definedName name="____________________r">#REF!</definedName>
    <definedName name="___________________CC709">#REF!</definedName>
    <definedName name="___________________Ext2">#REF!</definedName>
    <definedName name="___________________KM406407">#REF!</definedName>
    <definedName name="___________________OUT98">#REF!</definedName>
    <definedName name="___________________PL1">#REF!</definedName>
    <definedName name="___________________r">#REF!</definedName>
    <definedName name="__________________Ext2">#REF!</definedName>
    <definedName name="__________________KM406407">#REF!</definedName>
    <definedName name="__________________OUT98">#REF!</definedName>
    <definedName name="__________________PL1">#REF!</definedName>
    <definedName name="__________________r">#REF!</definedName>
    <definedName name="_________________Ext2">#REF!</definedName>
    <definedName name="_________________KM406407">#REF!</definedName>
    <definedName name="_________________OUT98">#REF!</definedName>
    <definedName name="_________________PL1">#REF!</definedName>
    <definedName name="_________________r">#REF!</definedName>
    <definedName name="________________Ext2">#REF!</definedName>
    <definedName name="________________KM406407">#REF!</definedName>
    <definedName name="________________OUT98">#REF!</definedName>
    <definedName name="________________PL1">#REF!</definedName>
    <definedName name="________________r">#REF!</definedName>
    <definedName name="_______________CC709">#REF!</definedName>
    <definedName name="_______________DND2">#REF!</definedName>
    <definedName name="_______________Ext2">#REF!</definedName>
    <definedName name="_______________KM406407">#REF!</definedName>
    <definedName name="_______________OUT98">#REF!</definedName>
    <definedName name="_______________PL1">#REF!</definedName>
    <definedName name="______________CC709">#REF!</definedName>
    <definedName name="______________Ext2">#REF!</definedName>
    <definedName name="______________KM406407">#REF!</definedName>
    <definedName name="______________OUT98">#REF!</definedName>
    <definedName name="______________PL1">#REF!</definedName>
    <definedName name="______________r">#REF!</definedName>
    <definedName name="_____________DND2">#REF!</definedName>
    <definedName name="_____________Ext2">#REF!</definedName>
    <definedName name="_____________KM406407">#REF!</definedName>
    <definedName name="_____________OUT98">#REF!</definedName>
    <definedName name="_____________PL1">#REF!</definedName>
    <definedName name="_____________r">#REF!</definedName>
    <definedName name="____________DND2">#REF!</definedName>
    <definedName name="____________Ext2">#REF!</definedName>
    <definedName name="____________ki5">#REF!</definedName>
    <definedName name="____________KM406407">#REF!</definedName>
    <definedName name="____________OUT98">#REF!</definedName>
    <definedName name="____________OUT988">#REF!</definedName>
    <definedName name="____________PL1">#REF!</definedName>
    <definedName name="____________r">#REF!</definedName>
    <definedName name="___________Brz1">#REF!</definedName>
    <definedName name="___________Brz2">#REF!</definedName>
    <definedName name="___________CC709">#REF!</definedName>
    <definedName name="___________eap1">#REF!</definedName>
    <definedName name="___________Ext2">#REF!</definedName>
    <definedName name="___________ki5">#REF!</definedName>
    <definedName name="___________KM406407">#REF!</definedName>
    <definedName name="___________OUT98">#REF!</definedName>
    <definedName name="___________OUT988">#REF!</definedName>
    <definedName name="___________OUT9888">#REF!</definedName>
    <definedName name="___________PL1">#REF!</definedName>
    <definedName name="___________r">#REF!</definedName>
    <definedName name="__________DND2">#REF!</definedName>
    <definedName name="__________eap1">#REF!</definedName>
    <definedName name="__________Ext2">#REF!</definedName>
    <definedName name="__________Fev1">#REF!</definedName>
    <definedName name="__________Jan1">#REF!</definedName>
    <definedName name="__________ki5">#REF!</definedName>
    <definedName name="__________KM406407">#REF!</definedName>
    <definedName name="__________Mar1">#REF!</definedName>
    <definedName name="__________OUT98">#REF!</definedName>
    <definedName name="__________PL1">#REF!</definedName>
    <definedName name="__________r">#REF!</definedName>
    <definedName name="_________A1">#REF!</definedName>
    <definedName name="_________A10">#REF!</definedName>
    <definedName name="_________A11">#REF!</definedName>
    <definedName name="_________A12">#REF!</definedName>
    <definedName name="_________A13">#REF!</definedName>
    <definedName name="_________A14">#REF!</definedName>
    <definedName name="_________A15">#REF!</definedName>
    <definedName name="_________A16">#REF!</definedName>
    <definedName name="_________A17">#REF!</definedName>
    <definedName name="_________A19">#REF!</definedName>
    <definedName name="_________A2">#REF!</definedName>
    <definedName name="_________A20">#REF!</definedName>
    <definedName name="_________A21">#REF!</definedName>
    <definedName name="_________A22">#REF!</definedName>
    <definedName name="_________A23">#REF!</definedName>
    <definedName name="_________A24">#REF!</definedName>
    <definedName name="_________A25">#REF!</definedName>
    <definedName name="_________A3">#REF!</definedName>
    <definedName name="_________A4">#REF!</definedName>
    <definedName name="_________A5">#REF!</definedName>
    <definedName name="_________A6">#REF!</definedName>
    <definedName name="_________A7">#REF!</definedName>
    <definedName name="_________A9">#REF!</definedName>
    <definedName name="_________Brz1">#REF!</definedName>
    <definedName name="_________Brz2">#REF!</definedName>
    <definedName name="_________CC709">#REF!</definedName>
    <definedName name="_________DND2">#REF!</definedName>
    <definedName name="_________eap1">#REF!</definedName>
    <definedName name="_________Ext2">#REF!</definedName>
    <definedName name="_________Fev1">#REF!</definedName>
    <definedName name="_________Jan1">#REF!</definedName>
    <definedName name="_________ki5">#REF!</definedName>
    <definedName name="_________KM406407">#REF!</definedName>
    <definedName name="_________Mar1">#REF!</definedName>
    <definedName name="_________MOD01">#REF!</definedName>
    <definedName name="_________OUT98">#REF!</definedName>
    <definedName name="_________OUTT98">#REF!</definedName>
    <definedName name="_________OUTT988">#REF!</definedName>
    <definedName name="_________PL1">#REF!</definedName>
    <definedName name="_________r">#REF!</definedName>
    <definedName name="_________RP1">#REF!</definedName>
    <definedName name="_________sub1" localSheetId="1">#REF!</definedName>
    <definedName name="_________sub1">#REF!</definedName>
    <definedName name="_________sub3" localSheetId="1">#REF!</definedName>
    <definedName name="_________sub3">#REF!</definedName>
    <definedName name="_________TP10">#REF!</definedName>
    <definedName name="_________TP5">#REF!</definedName>
    <definedName name="________CC709">#REF!</definedName>
    <definedName name="________DIV1004">#REF!</definedName>
    <definedName name="________DIV1015">#REF!</definedName>
    <definedName name="________DIV1039">#REF!</definedName>
    <definedName name="________DIV1050">#REF!</definedName>
    <definedName name="________DIV278">#REF!</definedName>
    <definedName name="________DIV279">#REF!</definedName>
    <definedName name="________DIV45">#REF!</definedName>
    <definedName name="________DIV450">#REF!</definedName>
    <definedName name="________DIV709">#REF!</definedName>
    <definedName name="________DIV710">#REF!</definedName>
    <definedName name="________DIV711">#REF!</definedName>
    <definedName name="________DIV718">#REF!</definedName>
    <definedName name="________DIV719">#REF!</definedName>
    <definedName name="________DIV720">#REF!</definedName>
    <definedName name="________DIV819">#REF!</definedName>
    <definedName name="________DIV947">#REF!</definedName>
    <definedName name="________DND2">#REF!</definedName>
    <definedName name="________eap1">#REF!</definedName>
    <definedName name="________Ext2">#REF!</definedName>
    <definedName name="________ki5">#REF!</definedName>
    <definedName name="________KM406407">#REF!</definedName>
    <definedName name="________LO1004">#REF!</definedName>
    <definedName name="________LO1015">#REF!</definedName>
    <definedName name="________LO1039">#REF!</definedName>
    <definedName name="________LO1050">#REF!</definedName>
    <definedName name="________LO278">#REF!</definedName>
    <definedName name="________LO279">#REF!</definedName>
    <definedName name="________LO450">#REF!</definedName>
    <definedName name="________LO709">#REF!</definedName>
    <definedName name="________LO710">#REF!</definedName>
    <definedName name="________LO711">#REF!</definedName>
    <definedName name="________LO719">#REF!</definedName>
    <definedName name="________LO720">#REF!</definedName>
    <definedName name="________LO819">#REF!</definedName>
    <definedName name="________LO947">#REF!</definedName>
    <definedName name="________ME1004">#REF!</definedName>
    <definedName name="________ME1015">#REF!</definedName>
    <definedName name="________ME1039">#REF!</definedName>
    <definedName name="________ME1050">#REF!</definedName>
    <definedName name="________ME278">#REF!</definedName>
    <definedName name="________ME279">#REF!</definedName>
    <definedName name="________ME450">#REF!</definedName>
    <definedName name="________ME709">#REF!</definedName>
    <definedName name="________ME710">#REF!</definedName>
    <definedName name="________ME711">#REF!</definedName>
    <definedName name="________ME719">#REF!</definedName>
    <definedName name="________ME720">#REF!</definedName>
    <definedName name="________ME819">#REF!</definedName>
    <definedName name="________ME947">#REF!</definedName>
    <definedName name="________MNS8418">#REF!</definedName>
    <definedName name="________Obs1">#REF!</definedName>
    <definedName name="________Obs2">#REF!</definedName>
    <definedName name="________OUT98">#REF!</definedName>
    <definedName name="________OUTTT98">#REF!</definedName>
    <definedName name="________PL1">#REF!</definedName>
    <definedName name="________PR1004">#REF!</definedName>
    <definedName name="________PR1015">#REF!</definedName>
    <definedName name="________PR1039">#REF!</definedName>
    <definedName name="________PR1050">#REF!</definedName>
    <definedName name="________PR278">#REF!</definedName>
    <definedName name="________PR279">#REF!</definedName>
    <definedName name="________PR450">#REF!</definedName>
    <definedName name="________PR709">#REF!</definedName>
    <definedName name="________PR710">#REF!</definedName>
    <definedName name="________PR711">#REF!</definedName>
    <definedName name="________PR719">#REF!</definedName>
    <definedName name="________PR720">#REF!</definedName>
    <definedName name="________PR819">#REF!</definedName>
    <definedName name="________PR947">#REF!</definedName>
    <definedName name="________R" localSheetId="1">#REF!</definedName>
    <definedName name="________R">#REF!</definedName>
    <definedName name="________sub1" localSheetId="1">#REF!</definedName>
    <definedName name="________sub1">#REF!</definedName>
    <definedName name="________sub2" localSheetId="1">#REF!</definedName>
    <definedName name="________sub2">#REF!</definedName>
    <definedName name="________sub3" localSheetId="1">#REF!</definedName>
    <definedName name="________sub3">#REF!</definedName>
    <definedName name="________sub4" localSheetId="1">#REF!</definedName>
    <definedName name="________sub4">#REF!</definedName>
    <definedName name="_______CC709">#REF!</definedName>
    <definedName name="_______CC947">#REF!</definedName>
    <definedName name="_______DIV1004">#REF!</definedName>
    <definedName name="_______DIV1015">#REF!</definedName>
    <definedName name="_______DIV1039">#REF!</definedName>
    <definedName name="_______DIV1050">#REF!</definedName>
    <definedName name="_______DIV278">#REF!</definedName>
    <definedName name="_______DIV279">#REF!</definedName>
    <definedName name="_______DIV45">#REF!</definedName>
    <definedName name="_______DIV450">#REF!</definedName>
    <definedName name="_______DIV709">#REF!</definedName>
    <definedName name="_______DIV710">#REF!</definedName>
    <definedName name="_______DIV711">#REF!</definedName>
    <definedName name="_______DIV718">#REF!</definedName>
    <definedName name="_______DIV719">#REF!</definedName>
    <definedName name="_______DIV720">#REF!</definedName>
    <definedName name="_______DIV819">#REF!</definedName>
    <definedName name="_______DIV947">#REF!</definedName>
    <definedName name="_______DND2">#REF!</definedName>
    <definedName name="_______eap1">#REF!</definedName>
    <definedName name="_______Ext2">#REF!</definedName>
    <definedName name="_______ki5">#REF!</definedName>
    <definedName name="_______KM406407">#REF!</definedName>
    <definedName name="_______LO1004">#REF!</definedName>
    <definedName name="_______LO1015">#REF!</definedName>
    <definedName name="_______LO1039">#REF!</definedName>
    <definedName name="_______LO1050">#REF!</definedName>
    <definedName name="_______LO278">#REF!</definedName>
    <definedName name="_______LO279">#REF!</definedName>
    <definedName name="_______LO450">#REF!</definedName>
    <definedName name="_______LO709">#REF!</definedName>
    <definedName name="_______LO710">#REF!</definedName>
    <definedName name="_______LO711">#REF!</definedName>
    <definedName name="_______LO719">#REF!</definedName>
    <definedName name="_______LO720">#REF!</definedName>
    <definedName name="_______LO819">#REF!</definedName>
    <definedName name="_______LO947">#REF!</definedName>
    <definedName name="_______MDO1">[2]INSUMOS!$C$8</definedName>
    <definedName name="_______MDO2">[2]INSUMOS!$C$9</definedName>
    <definedName name="_______ME1004" localSheetId="1">#REF!</definedName>
    <definedName name="_______ME1004">#REF!</definedName>
    <definedName name="_______ME1015">#REF!</definedName>
    <definedName name="_______ME1039">#REF!</definedName>
    <definedName name="_______ME1050">#REF!</definedName>
    <definedName name="_______ME278">#REF!</definedName>
    <definedName name="_______ME279">#REF!</definedName>
    <definedName name="_______ME450">#REF!</definedName>
    <definedName name="_______ME709">#REF!</definedName>
    <definedName name="_______ME710">#REF!</definedName>
    <definedName name="_______ME711">#REF!</definedName>
    <definedName name="_______ME719">#REF!</definedName>
    <definedName name="_______ME720">#REF!</definedName>
    <definedName name="_______ME819">#REF!</definedName>
    <definedName name="_______ME947">#REF!</definedName>
    <definedName name="_______MNS8418">#REF!</definedName>
    <definedName name="_______Obs1">#REF!</definedName>
    <definedName name="_______Obs2">#REF!</definedName>
    <definedName name="_______OUT98">#REF!</definedName>
    <definedName name="_______OUT9888">#REF!</definedName>
    <definedName name="_______PL1">#REF!</definedName>
    <definedName name="_______PR1004">#REF!</definedName>
    <definedName name="_______PR1015">#REF!</definedName>
    <definedName name="_______PR1039">#REF!</definedName>
    <definedName name="_______PR1050">#REF!</definedName>
    <definedName name="_______PR278">#REF!</definedName>
    <definedName name="_______PR279">#REF!</definedName>
    <definedName name="_______PR450">#REF!</definedName>
    <definedName name="_______PR709">#REF!</definedName>
    <definedName name="_______PR710">#REF!</definedName>
    <definedName name="_______PR711">#REF!</definedName>
    <definedName name="_______PR719">#REF!</definedName>
    <definedName name="_______PR720">#REF!</definedName>
    <definedName name="_______PR819">#REF!</definedName>
    <definedName name="_______PR947">#REF!</definedName>
    <definedName name="_______R" localSheetId="1">#REF!</definedName>
    <definedName name="_______R">#REF!</definedName>
    <definedName name="_______sub1" localSheetId="1">#REF!</definedName>
    <definedName name="_______sub1">#REF!</definedName>
    <definedName name="_______sub2" localSheetId="1">#REF!</definedName>
    <definedName name="_______sub2">#REF!</definedName>
    <definedName name="_______sub3" localSheetId="1">#REF!</definedName>
    <definedName name="_______sub3">#REF!</definedName>
    <definedName name="_______sub4" localSheetId="1">#REF!</definedName>
    <definedName name="_______sub4">#REF!</definedName>
    <definedName name="_______TP10">#REF!</definedName>
    <definedName name="_______TP5">#REF!</definedName>
    <definedName name="______CC709">#REF!</definedName>
    <definedName name="______CC947">#REF!</definedName>
    <definedName name="______DIV1004">#REF!</definedName>
    <definedName name="______DIV1015">#REF!</definedName>
    <definedName name="______DIV1039">#REF!</definedName>
    <definedName name="______DIV1050">#REF!</definedName>
    <definedName name="______DIV278">#REF!</definedName>
    <definedName name="______DIV279">#REF!</definedName>
    <definedName name="______DIV45">#REF!</definedName>
    <definedName name="______DIV450">#REF!</definedName>
    <definedName name="______DIV709">#REF!</definedName>
    <definedName name="______DIV710">#REF!</definedName>
    <definedName name="______DIV711">#REF!</definedName>
    <definedName name="______DIV718">#REF!</definedName>
    <definedName name="______DIV719">#REF!</definedName>
    <definedName name="______DIV720">#REF!</definedName>
    <definedName name="______DIV819">#REF!</definedName>
    <definedName name="______DIV947">#REF!</definedName>
    <definedName name="______DND2">#REF!</definedName>
    <definedName name="______eap1">#REF!</definedName>
    <definedName name="______eu2" localSheetId="1" hidden="1">{#N/A,#N/A,FALSE,"MO (2)"}</definedName>
    <definedName name="______eu2">{#N/A,#N/A,FALSE,"MO (2)"}</definedName>
    <definedName name="______Ext2" localSheetId="1">#REF!</definedName>
    <definedName name="______Ext2">#REF!</definedName>
    <definedName name="______ki5">#REF!</definedName>
    <definedName name="______KM406407">#REF!</definedName>
    <definedName name="______LO1004">#REF!</definedName>
    <definedName name="______LO1015">#REF!</definedName>
    <definedName name="______LO1039">#REF!</definedName>
    <definedName name="______LO1050">#REF!</definedName>
    <definedName name="______LO278">#REF!</definedName>
    <definedName name="______LO279">#REF!</definedName>
    <definedName name="______LO450">#REF!</definedName>
    <definedName name="______LO709">#REF!</definedName>
    <definedName name="______LO710">#REF!</definedName>
    <definedName name="______LO711">#REF!</definedName>
    <definedName name="______LO719">#REF!</definedName>
    <definedName name="______LO720">#REF!</definedName>
    <definedName name="______LO819">#REF!</definedName>
    <definedName name="______LO947">#REF!</definedName>
    <definedName name="______MDO1" localSheetId="1">#REF!</definedName>
    <definedName name="______MDO1">#REF!</definedName>
    <definedName name="______MDO2" localSheetId="1">#REF!</definedName>
    <definedName name="______MDO2">#REF!</definedName>
    <definedName name="______ME1004">#REF!</definedName>
    <definedName name="______ME1015">#REF!</definedName>
    <definedName name="______ME1039">#REF!</definedName>
    <definedName name="______ME1050">#REF!</definedName>
    <definedName name="______ME278">#REF!</definedName>
    <definedName name="______ME279">#REF!</definedName>
    <definedName name="______ME450">#REF!</definedName>
    <definedName name="______ME709">#REF!</definedName>
    <definedName name="______ME710">#REF!</definedName>
    <definedName name="______ME711">#REF!</definedName>
    <definedName name="______ME719">#REF!</definedName>
    <definedName name="______ME720">#REF!</definedName>
    <definedName name="______ME819">#REF!</definedName>
    <definedName name="______ME947">#REF!</definedName>
    <definedName name="______MNS8418">#REF!</definedName>
    <definedName name="______Obs1">#REF!</definedName>
    <definedName name="______Obs2">#REF!</definedName>
    <definedName name="______OUT98">#REF!</definedName>
    <definedName name="______OUTT98888">#REF!</definedName>
    <definedName name="______PL1">#REF!</definedName>
    <definedName name="______PR1004">#REF!</definedName>
    <definedName name="______PR1015">#REF!</definedName>
    <definedName name="______PR1039">#REF!</definedName>
    <definedName name="______PR1050">#REF!</definedName>
    <definedName name="______PR278">#REF!</definedName>
    <definedName name="______PR279">#REF!</definedName>
    <definedName name="______PR450">#REF!</definedName>
    <definedName name="______PR709">#REF!</definedName>
    <definedName name="______PR710">#REF!</definedName>
    <definedName name="______PR711">#REF!</definedName>
    <definedName name="______PR719">#REF!</definedName>
    <definedName name="______PR720">#REF!</definedName>
    <definedName name="______PR819">#REF!</definedName>
    <definedName name="______PR947">#REF!</definedName>
    <definedName name="______R" localSheetId="1">#REF!</definedName>
    <definedName name="______R">#REF!</definedName>
    <definedName name="______sub1" localSheetId="1">#REF!</definedName>
    <definedName name="______sub1">#REF!</definedName>
    <definedName name="______sub2" localSheetId="1">#REF!</definedName>
    <definedName name="______sub2">#REF!</definedName>
    <definedName name="______sub3" localSheetId="1">#REF!</definedName>
    <definedName name="______sub3">#REF!</definedName>
    <definedName name="______sub4" localSheetId="1">#REF!</definedName>
    <definedName name="______sub4">#REF!</definedName>
    <definedName name="_____Brz1">#REF!</definedName>
    <definedName name="_____Brz2">#REF!</definedName>
    <definedName name="_____CC709">#REF!</definedName>
    <definedName name="_____CC947">#REF!</definedName>
    <definedName name="_____DIV1004">#REF!</definedName>
    <definedName name="_____DIV1015">#REF!</definedName>
    <definedName name="_____DIV1039">#REF!</definedName>
    <definedName name="_____DIV1050">#REF!</definedName>
    <definedName name="_____DIV278">#REF!</definedName>
    <definedName name="_____DIV279">#REF!</definedName>
    <definedName name="_____DIV45">#REF!</definedName>
    <definedName name="_____DIV450">#REF!</definedName>
    <definedName name="_____DIV709">#REF!</definedName>
    <definedName name="_____DIV710">#REF!</definedName>
    <definedName name="_____DIV711">#REF!</definedName>
    <definedName name="_____DIV718">#REF!</definedName>
    <definedName name="_____DIV719">#REF!</definedName>
    <definedName name="_____DIV720">#REF!</definedName>
    <definedName name="_____DIV819">#REF!</definedName>
    <definedName name="_____DIV947">#REF!</definedName>
    <definedName name="_____DND2">#REF!</definedName>
    <definedName name="_____eap1">#REF!</definedName>
    <definedName name="_____eu2" localSheetId="1" hidden="1">{#N/A,#N/A,FALSE,"MO (2)"}</definedName>
    <definedName name="_____eu2">{#N/A,#N/A,FALSE,"MO (2)"}</definedName>
    <definedName name="_____Ext2" localSheetId="1">#REF!</definedName>
    <definedName name="_____Ext2">#REF!</definedName>
    <definedName name="_____ki5">#REF!</definedName>
    <definedName name="_____KM406407">#REF!</definedName>
    <definedName name="_____LO1004">#REF!</definedName>
    <definedName name="_____LO1015">#REF!</definedName>
    <definedName name="_____LO1039">#REF!</definedName>
    <definedName name="_____LO1050">#REF!</definedName>
    <definedName name="_____LO278">#REF!</definedName>
    <definedName name="_____LO279">#REF!</definedName>
    <definedName name="_____LO450">#REF!</definedName>
    <definedName name="_____LO709">#REF!</definedName>
    <definedName name="_____LO710">#REF!</definedName>
    <definedName name="_____LO711">#REF!</definedName>
    <definedName name="_____LO719">#REF!</definedName>
    <definedName name="_____LO720">#REF!</definedName>
    <definedName name="_____LO819">#REF!</definedName>
    <definedName name="_____LO947">#REF!</definedName>
    <definedName name="_____MDO1" localSheetId="1">#REF!</definedName>
    <definedName name="_____MDO1">#REF!</definedName>
    <definedName name="_____MDO2" localSheetId="1">#REF!</definedName>
    <definedName name="_____MDO2">#REF!</definedName>
    <definedName name="_____ME1004">#REF!</definedName>
    <definedName name="_____ME1015">#REF!</definedName>
    <definedName name="_____ME1039">#REF!</definedName>
    <definedName name="_____ME1050">#REF!</definedName>
    <definedName name="_____ME278">#REF!</definedName>
    <definedName name="_____ME279">#REF!</definedName>
    <definedName name="_____ME450">#REF!</definedName>
    <definedName name="_____ME709">#REF!</definedName>
    <definedName name="_____ME710">#REF!</definedName>
    <definedName name="_____ME711">#REF!</definedName>
    <definedName name="_____ME719">#REF!</definedName>
    <definedName name="_____ME720">#REF!</definedName>
    <definedName name="_____ME819">#REF!</definedName>
    <definedName name="_____ME947">#REF!</definedName>
    <definedName name="_____Obs1">#REF!</definedName>
    <definedName name="_____Obs2">#REF!</definedName>
    <definedName name="_____OUT98">#REF!</definedName>
    <definedName name="_____OUTTT988">#REF!</definedName>
    <definedName name="_____PL1">#REF!</definedName>
    <definedName name="_____PR1004">#REF!</definedName>
    <definedName name="_____PR1015">#REF!</definedName>
    <definedName name="_____PR1039">#REF!</definedName>
    <definedName name="_____PR1050">#REF!</definedName>
    <definedName name="_____PR278">#REF!</definedName>
    <definedName name="_____PR279">#REF!</definedName>
    <definedName name="_____PR450">#REF!</definedName>
    <definedName name="_____PR709">#REF!</definedName>
    <definedName name="_____PR710">#REF!</definedName>
    <definedName name="_____PR711">#REF!</definedName>
    <definedName name="_____PR719">#REF!</definedName>
    <definedName name="_____PR720">#REF!</definedName>
    <definedName name="_____PR819">#REF!</definedName>
    <definedName name="_____PR947">#REF!</definedName>
    <definedName name="_____R" localSheetId="1">#REF!</definedName>
    <definedName name="_____R">#REF!</definedName>
    <definedName name="_____sub1" localSheetId="1">#REF!</definedName>
    <definedName name="_____sub1">#REF!</definedName>
    <definedName name="_____sub2" localSheetId="1">#REF!</definedName>
    <definedName name="_____sub2">#REF!</definedName>
    <definedName name="_____sub3" localSheetId="1">#REF!</definedName>
    <definedName name="_____sub3">#REF!</definedName>
    <definedName name="_____sub4" localSheetId="1">#REF!</definedName>
    <definedName name="_____sub4">#REF!</definedName>
    <definedName name="____brv2">#REF!</definedName>
    <definedName name="____Brz1">#REF!</definedName>
    <definedName name="____Brz2">#REF!</definedName>
    <definedName name="____CC709">#REF!</definedName>
    <definedName name="____CC947">#REF!</definedName>
    <definedName name="____CCM30">#REF!</definedName>
    <definedName name="____DIV1004">#REF!</definedName>
    <definedName name="____DIV1015">#REF!</definedName>
    <definedName name="____DIV1039">#REF!</definedName>
    <definedName name="____DIV1050">#REF!</definedName>
    <definedName name="____DIV278">#REF!</definedName>
    <definedName name="____DIV279">#REF!</definedName>
    <definedName name="____DIV45">#REF!</definedName>
    <definedName name="____DIV450">#REF!</definedName>
    <definedName name="____DIV709">#REF!</definedName>
    <definedName name="____DIV710">#REF!</definedName>
    <definedName name="____DIV711">#REF!</definedName>
    <definedName name="____DIV718">#REF!</definedName>
    <definedName name="____DIV719">#REF!</definedName>
    <definedName name="____DIV720">#REF!</definedName>
    <definedName name="____DIV819">#REF!</definedName>
    <definedName name="____DIV947">#REF!</definedName>
    <definedName name="____DND2">#REF!</definedName>
    <definedName name="____eap1">#REF!</definedName>
    <definedName name="____eu2" localSheetId="1" hidden="1">{#N/A,#N/A,FALSE,"MO (2)"}</definedName>
    <definedName name="____eu2">{#N/A,#N/A,FALSE,"MO (2)"}</definedName>
    <definedName name="____Ext2" localSheetId="1">#REF!</definedName>
    <definedName name="____Ext2">#REF!</definedName>
    <definedName name="____IRM1" localSheetId="1" hidden="1">{#N/A,#N/A,FALSE,"MO (2)"}</definedName>
    <definedName name="____IRM1">{#N/A,#N/A,FALSE,"MO (2)"}</definedName>
    <definedName name="____ki5" localSheetId="1">#REF!</definedName>
    <definedName name="____ki5">#REF!</definedName>
    <definedName name="____KM406407">#REF!</definedName>
    <definedName name="____la2">#REF!</definedName>
    <definedName name="____LO1004">#REF!</definedName>
    <definedName name="____LO1015">#REF!</definedName>
    <definedName name="____LO1039">#REF!</definedName>
    <definedName name="____LO1050">#REF!</definedName>
    <definedName name="____LO278">#REF!</definedName>
    <definedName name="____LO279">#REF!</definedName>
    <definedName name="____LO450">#REF!</definedName>
    <definedName name="____LO709">#REF!</definedName>
    <definedName name="____LO710">#REF!</definedName>
    <definedName name="____LO711">#REF!</definedName>
    <definedName name="____LO719">#REF!</definedName>
    <definedName name="____LO720">#REF!</definedName>
    <definedName name="____LO819">#REF!</definedName>
    <definedName name="____LO947">#REF!</definedName>
    <definedName name="____MDO1" localSheetId="1">#REF!</definedName>
    <definedName name="____MDO1">#REF!</definedName>
    <definedName name="____MDO2" localSheetId="1">#REF!</definedName>
    <definedName name="____MDO2">#REF!</definedName>
    <definedName name="____ME10005">#REF!</definedName>
    <definedName name="____ME1004">#REF!</definedName>
    <definedName name="____ME1015">#REF!</definedName>
    <definedName name="____ME1039">#REF!</definedName>
    <definedName name="____ME1050">#REF!</definedName>
    <definedName name="____ME278">#REF!</definedName>
    <definedName name="____ME279">#REF!</definedName>
    <definedName name="____ME450">#REF!</definedName>
    <definedName name="____ME709">#REF!</definedName>
    <definedName name="____ME710">#REF!</definedName>
    <definedName name="____ME711">#REF!</definedName>
    <definedName name="____ME719">#REF!</definedName>
    <definedName name="____ME720">#REF!</definedName>
    <definedName name="____ME819">#REF!</definedName>
    <definedName name="____ME947">#REF!</definedName>
    <definedName name="____MNS8418">#REF!</definedName>
    <definedName name="____Obs1">#REF!</definedName>
    <definedName name="____Obs2">#REF!</definedName>
    <definedName name="____OUT98">#REF!</definedName>
    <definedName name="____OUTTT98">#REF!</definedName>
    <definedName name="____PCM30">#REF!</definedName>
    <definedName name="____PL1">#REF!</definedName>
    <definedName name="____PLA2">#REF!</definedName>
    <definedName name="____PNV2002">#REF!</definedName>
    <definedName name="____PNV2003">#REF!</definedName>
    <definedName name="____PNV2009">#REF!</definedName>
    <definedName name="____PR1004">#REF!</definedName>
    <definedName name="____PR1015">#REF!</definedName>
    <definedName name="____PR1039">#REF!</definedName>
    <definedName name="____PR1050">#REF!</definedName>
    <definedName name="____PR278">#REF!</definedName>
    <definedName name="____PR279">#REF!</definedName>
    <definedName name="____PR450">#REF!</definedName>
    <definedName name="____PR709">#REF!</definedName>
    <definedName name="____PR710">#REF!</definedName>
    <definedName name="____PR711">#REF!</definedName>
    <definedName name="____PR719">#REF!</definedName>
    <definedName name="____PR720">#REF!</definedName>
    <definedName name="____PR819">#REF!</definedName>
    <definedName name="____PR947">#REF!</definedName>
    <definedName name="____PTB10">#REF!</definedName>
    <definedName name="____R" localSheetId="1">#REF!</definedName>
    <definedName name="____R">#REF!</definedName>
    <definedName name="____Rbv1">#REF!</definedName>
    <definedName name="____sub1" localSheetId="1">#REF!</definedName>
    <definedName name="____sub1">#REF!</definedName>
    <definedName name="____sub2" localSheetId="1">#REF!</definedName>
    <definedName name="____sub2">#REF!</definedName>
    <definedName name="____sub3" localSheetId="1">#REF!</definedName>
    <definedName name="____sub3">#REF!</definedName>
    <definedName name="____sub4" localSheetId="1">#REF!</definedName>
    <definedName name="____sub4">#REF!</definedName>
    <definedName name="____TB10">#REF!</definedName>
    <definedName name="____TOT1">#REF!</definedName>
    <definedName name="____TOT2">#REF!</definedName>
    <definedName name="____TOT3">#REF!</definedName>
    <definedName name="____TOT4">#REF!</definedName>
    <definedName name="____TOT5">#REF!</definedName>
    <definedName name="____TOT6">#REF!</definedName>
    <definedName name="____TOT7">#REF!</definedName>
    <definedName name="____TSD2">#REF!</definedName>
    <definedName name="___brv2">#REF!</definedName>
    <definedName name="___CC709">#REF!</definedName>
    <definedName name="___CC947">#REF!</definedName>
    <definedName name="___CCM30">#REF!</definedName>
    <definedName name="___DIV1004">#REF!</definedName>
    <definedName name="___DIV1015">#REF!</definedName>
    <definedName name="___DIV1039">#REF!</definedName>
    <definedName name="___DIV1050">#REF!</definedName>
    <definedName name="___DIV278">#REF!</definedName>
    <definedName name="___DIV279">#REF!</definedName>
    <definedName name="___DIV45">#REF!</definedName>
    <definedName name="___DIV450">#REF!</definedName>
    <definedName name="___DIV709">#REF!</definedName>
    <definedName name="___DIV710">#REF!</definedName>
    <definedName name="___DIV711">#REF!</definedName>
    <definedName name="___DIV718">#REF!</definedName>
    <definedName name="___DIV719">#REF!</definedName>
    <definedName name="___DIV720">#REF!</definedName>
    <definedName name="___DIV819">#REF!</definedName>
    <definedName name="___DIV947">#REF!</definedName>
    <definedName name="___DND2">#REF!</definedName>
    <definedName name="___eap1">#REF!</definedName>
    <definedName name="___ELE3" localSheetId="1">#REF!</definedName>
    <definedName name="___ELE3">#REF!</definedName>
    <definedName name="___eu2" localSheetId="1" hidden="1">{#N/A,#N/A,FALSE,"MO (2)"}</definedName>
    <definedName name="___eu2">{#N/A,#N/A,FALSE,"MO (2)"}</definedName>
    <definedName name="___Ext2" localSheetId="1">#REF!</definedName>
    <definedName name="___Ext2">#REF!</definedName>
    <definedName name="___HCB5">#REF!</definedName>
    <definedName name="___IRM1" localSheetId="1" hidden="1">{#N/A,#N/A,FALSE,"MO (2)"}</definedName>
    <definedName name="___IRM1">{#N/A,#N/A,FALSE,"MO (2)"}</definedName>
    <definedName name="___ki5" localSheetId="1">#REF!</definedName>
    <definedName name="___ki5">#REF!</definedName>
    <definedName name="___KM406407">#REF!</definedName>
    <definedName name="___la2">#REF!</definedName>
    <definedName name="___LO1004">#REF!</definedName>
    <definedName name="___LO1015">#REF!</definedName>
    <definedName name="___LO1039">#REF!</definedName>
    <definedName name="___LO1050">#REF!</definedName>
    <definedName name="___LO278">#REF!</definedName>
    <definedName name="___LO279">#REF!</definedName>
    <definedName name="___LO450">#REF!</definedName>
    <definedName name="___LO709">#REF!</definedName>
    <definedName name="___LO710">#REF!</definedName>
    <definedName name="___LO711">#REF!</definedName>
    <definedName name="___LO719">#REF!</definedName>
    <definedName name="___LO720">#REF!</definedName>
    <definedName name="___LO819">#REF!</definedName>
    <definedName name="___LO947">#REF!</definedName>
    <definedName name="___MDO1" localSheetId="1">#REF!</definedName>
    <definedName name="___MDO1">#REF!</definedName>
    <definedName name="___MDO2" localSheetId="1">#REF!</definedName>
    <definedName name="___MDO2">#REF!</definedName>
    <definedName name="___ME10005">#REF!</definedName>
    <definedName name="___ME1004">#REF!</definedName>
    <definedName name="___ME1015">#REF!</definedName>
    <definedName name="___ME1039">#REF!</definedName>
    <definedName name="___ME1050">#REF!</definedName>
    <definedName name="___ME278">#REF!</definedName>
    <definedName name="___ME279">#REF!</definedName>
    <definedName name="___ME450">#REF!</definedName>
    <definedName name="___ME709">#REF!</definedName>
    <definedName name="___ME710">#REF!</definedName>
    <definedName name="___ME711">#REF!</definedName>
    <definedName name="___ME719">#REF!</definedName>
    <definedName name="___ME720">#REF!</definedName>
    <definedName name="___ME819">#REF!</definedName>
    <definedName name="___ME947">#REF!</definedName>
    <definedName name="___MNS8418">#REF!</definedName>
    <definedName name="___Obs1">#REF!</definedName>
    <definedName name="___Obs2">#REF!</definedName>
    <definedName name="___OUT98">#REF!</definedName>
    <definedName name="___PCM30">#REF!</definedName>
    <definedName name="___PL1">#REF!</definedName>
    <definedName name="___PLA2">#REF!</definedName>
    <definedName name="___PM334">#REF!</definedName>
    <definedName name="___PM335">#REF!</definedName>
    <definedName name="___PM346">#REF!</definedName>
    <definedName name="___PM406">#REF!</definedName>
    <definedName name="___PM412">#REF!</definedName>
    <definedName name="___PM609">#REF!</definedName>
    <definedName name="___PM970">#REF!</definedName>
    <definedName name="___PNV2002">#REF!</definedName>
    <definedName name="___PNV2003">#REF!</definedName>
    <definedName name="___PNV2009">#REF!</definedName>
    <definedName name="___PR1004">#REF!</definedName>
    <definedName name="___PR1015">#REF!</definedName>
    <definedName name="___PR1039">#REF!</definedName>
    <definedName name="___PR1050">#REF!</definedName>
    <definedName name="___PR278">#REF!</definedName>
    <definedName name="___PR279">#REF!</definedName>
    <definedName name="___PR450">#REF!</definedName>
    <definedName name="___PR709">#REF!</definedName>
    <definedName name="___PR710">#REF!</definedName>
    <definedName name="___PR711">#REF!</definedName>
    <definedName name="___PR719">#REF!</definedName>
    <definedName name="___PR720">#REF!</definedName>
    <definedName name="___PR819">#REF!</definedName>
    <definedName name="___PR947">#REF!</definedName>
    <definedName name="___PTB10">#REF!</definedName>
    <definedName name="___R" localSheetId="1">#REF!</definedName>
    <definedName name="___R">#REF!</definedName>
    <definedName name="___Rbv1">#REF!</definedName>
    <definedName name="___sub1" localSheetId="1">#REF!</definedName>
    <definedName name="___sub1">#REF!</definedName>
    <definedName name="___sub2" localSheetId="1">#REF!</definedName>
    <definedName name="___sub2">#REF!</definedName>
    <definedName name="___sub3" localSheetId="1">#REF!</definedName>
    <definedName name="___sub3">#REF!</definedName>
    <definedName name="___sub4" localSheetId="1">#REF!</definedName>
    <definedName name="___sub4">#REF!</definedName>
    <definedName name="___TB10">#REF!</definedName>
    <definedName name="___tot1" localSheetId="1">#REF!</definedName>
    <definedName name="___tot1">#REF!</definedName>
    <definedName name="___tot2" localSheetId="1">#REF!</definedName>
    <definedName name="___tot2">#REF!</definedName>
    <definedName name="___tot3" localSheetId="1">#REF!</definedName>
    <definedName name="___tot3">#REF!</definedName>
    <definedName name="___tot4" localSheetId="1">#REF!</definedName>
    <definedName name="___tot4">#REF!</definedName>
    <definedName name="___tot5" localSheetId="1">#REF!</definedName>
    <definedName name="___tot5">#REF!</definedName>
    <definedName name="___tot6" localSheetId="1">#REF!</definedName>
    <definedName name="___tot6">#REF!</definedName>
    <definedName name="___tot7" localSheetId="1">#REF!</definedName>
    <definedName name="___tot7">#REF!</definedName>
    <definedName name="___tot8" localSheetId="1">#REF!</definedName>
    <definedName name="___tot8">#REF!</definedName>
    <definedName name="___TP10">#REF!</definedName>
    <definedName name="___TP5">#REF!</definedName>
    <definedName name="___TSD2">#REF!</definedName>
    <definedName name="___xlfn_IFNA">#REF!</definedName>
    <definedName name="___xlnm.Extract_1">#REF!</definedName>
    <definedName name="___xlnm.Extract_2">#REF!</definedName>
    <definedName name="___xlnm.Extract_3">#REF!</definedName>
    <definedName name="___xlnm.Extract_5">#REF!</definedName>
    <definedName name="___xlnm.Print_Area_1">#REF!</definedName>
    <definedName name="___xlnm.Print_Area_2">#REF!</definedName>
    <definedName name="___xlnm.Print_Area_3">#REF!</definedName>
    <definedName name="___xlnm.Print_Area_5">#REF!</definedName>
    <definedName name="___xlnm.Print_Titles_1">#REF!</definedName>
    <definedName name="___xlnm.Print_Titles_2">#REF!</definedName>
    <definedName name="___xlnm.Print_Titles_3">#REF!</definedName>
    <definedName name="___xlnm.Print_Titles_5">#REF!</definedName>
    <definedName name="__A1">#REF!</definedName>
    <definedName name="__A10">#REF!</definedName>
    <definedName name="__A11">#REF!</definedName>
    <definedName name="__A12">#REF!</definedName>
    <definedName name="__A13">#REF!</definedName>
    <definedName name="__A14">#REF!</definedName>
    <definedName name="__A15">#REF!</definedName>
    <definedName name="__A16">#REF!</definedName>
    <definedName name="__A17">#REF!</definedName>
    <definedName name="__A19">#REF!</definedName>
    <definedName name="__A2">#REF!</definedName>
    <definedName name="__A20">#REF!</definedName>
    <definedName name="__A21">#REF!</definedName>
    <definedName name="__A22">#REF!</definedName>
    <definedName name="__A23">#REF!</definedName>
    <definedName name="__A24">#REF!</definedName>
    <definedName name="__A25">#REF!</definedName>
    <definedName name="__A3">#REF!</definedName>
    <definedName name="__A4">#REF!</definedName>
    <definedName name="__A5">#REF!</definedName>
    <definedName name="__A6">#REF!</definedName>
    <definedName name="__A7">#REF!</definedName>
    <definedName name="__A9">#REF!</definedName>
    <definedName name="__Abr1">#REF!</definedName>
    <definedName name="__Ago1">#REF!</definedName>
    <definedName name="__bookmark_1">[3]Sheet1!$B$3</definedName>
    <definedName name="__bookmark_10">[3]Sheet1!$E$239</definedName>
    <definedName name="__bookmark_2">[3]Sheet1!$B$4</definedName>
    <definedName name="__bookmark_3">[3]Sheet1!$B$5</definedName>
    <definedName name="__bookmark_4">[3]Sheet1!$B$6</definedName>
    <definedName name="__bookmark_5">[3]Sheet1!$D$6</definedName>
    <definedName name="__bookmark_7">[3]Sheet1!$I$236</definedName>
    <definedName name="__bookmark_8">[3]Sheet1!$E$237</definedName>
    <definedName name="__bookmark_9">[3]Sheet1!$E$238</definedName>
    <definedName name="__brv2" localSheetId="1">#REF!</definedName>
    <definedName name="__brv2">#REF!</definedName>
    <definedName name="__CC709">#REF!</definedName>
    <definedName name="__CC947">#REF!</definedName>
    <definedName name="__CCM30">#REF!</definedName>
    <definedName name="__Dez1">#REF!</definedName>
    <definedName name="__DIV1004">#REF!</definedName>
    <definedName name="__DIV1015">#REF!</definedName>
    <definedName name="__DIV1039">#REF!</definedName>
    <definedName name="__DIV1050">#REF!</definedName>
    <definedName name="__DIV278">#REF!</definedName>
    <definedName name="__DIV279">#REF!</definedName>
    <definedName name="__DIV45">#REF!</definedName>
    <definedName name="__DIV450">#REF!</definedName>
    <definedName name="__DIV709">#REF!</definedName>
    <definedName name="__DIV710">#REF!</definedName>
    <definedName name="__DIV711">#REF!</definedName>
    <definedName name="__DIV718">#REF!</definedName>
    <definedName name="__DIV719">#REF!</definedName>
    <definedName name="__DIV720">#REF!</definedName>
    <definedName name="__DIV819">#REF!</definedName>
    <definedName name="__DIV947">#REF!</definedName>
    <definedName name="__DND2">#REF!</definedName>
    <definedName name="__eap1">#REF!</definedName>
    <definedName name="__ELE1" localSheetId="1">#REF!</definedName>
    <definedName name="__ELE1">#REF!</definedName>
    <definedName name="__ELE2" localSheetId="1">#REF!</definedName>
    <definedName name="__ELE2">#REF!</definedName>
    <definedName name="__ELE3" localSheetId="1">#REF!</definedName>
    <definedName name="__ELE3">#REF!</definedName>
    <definedName name="__eu2" localSheetId="1" hidden="1">{#N/A,#N/A,FALSE,"MO (2)"}</definedName>
    <definedName name="__eu2">{#N/A,#N/A,FALSE,"MO (2)"}</definedName>
    <definedName name="__Ext2" localSheetId="1">#REF!</definedName>
    <definedName name="__Ext2">#REF!</definedName>
    <definedName name="__Fev1">#REF!</definedName>
    <definedName name="__HCB5">#REF!</definedName>
    <definedName name="__IRM1" localSheetId="1" hidden="1">{#N/A,#N/A,FALSE,"MO (2)"}</definedName>
    <definedName name="__IRM1">{#N/A,#N/A,FALSE,"MO (2)"}</definedName>
    <definedName name="__Jan1" localSheetId="1">#REF!</definedName>
    <definedName name="__Jan1">#REF!</definedName>
    <definedName name="__Jul1">#REF!</definedName>
    <definedName name="__Jun1">#REF!</definedName>
    <definedName name="__ki5">#REF!</definedName>
    <definedName name="__KM406407">#REF!</definedName>
    <definedName name="__la2">#REF!</definedName>
    <definedName name="__LO1004">#REF!</definedName>
    <definedName name="__LO1015">#REF!</definedName>
    <definedName name="__LO1039">#REF!</definedName>
    <definedName name="__LO1050">#REF!</definedName>
    <definedName name="__LO278">#REF!</definedName>
    <definedName name="__LO279">#REF!</definedName>
    <definedName name="__LO450">#REF!</definedName>
    <definedName name="__LO709">#REF!</definedName>
    <definedName name="__LO710">#REF!</definedName>
    <definedName name="__LO711">#REF!</definedName>
    <definedName name="__LO719">#REF!</definedName>
    <definedName name="__LO720">#REF!</definedName>
    <definedName name="__LO819">#REF!</definedName>
    <definedName name="__LO947">#REF!</definedName>
    <definedName name="__Mai1">#REF!</definedName>
    <definedName name="__Mar1">#REF!</definedName>
    <definedName name="__MDO1">[4]INSUMOS!$C$8</definedName>
    <definedName name="__MDO2" localSheetId="1">#REF!</definedName>
    <definedName name="__MDO2">#REF!</definedName>
    <definedName name="__ME10005">#REF!</definedName>
    <definedName name="__ME1004">#REF!</definedName>
    <definedName name="__ME1015">#REF!</definedName>
    <definedName name="__ME1039">#REF!</definedName>
    <definedName name="__ME1050">#REF!</definedName>
    <definedName name="__ME278">#REF!</definedName>
    <definedName name="__ME279">#REF!</definedName>
    <definedName name="__ME450">#REF!</definedName>
    <definedName name="__ME709">#REF!</definedName>
    <definedName name="__ME710">#REF!</definedName>
    <definedName name="__ME711">#REF!</definedName>
    <definedName name="__ME719">#REF!</definedName>
    <definedName name="__ME720">#REF!</definedName>
    <definedName name="__ME819">#REF!</definedName>
    <definedName name="__ME947">#REF!</definedName>
    <definedName name="__MNS8418">#REF!</definedName>
    <definedName name="__MOD01">#REF!</definedName>
    <definedName name="__Nov1">#REF!</definedName>
    <definedName name="__Obs1">#REF!</definedName>
    <definedName name="__Obs2">#REF!</definedName>
    <definedName name="__Out1">#REF!</definedName>
    <definedName name="__OUT98">#REF!</definedName>
    <definedName name="__OUT988888">#REF!</definedName>
    <definedName name="__PCM30">#REF!</definedName>
    <definedName name="__PL1">#REF!</definedName>
    <definedName name="__PLA2">#REF!</definedName>
    <definedName name="__PM334">#REF!</definedName>
    <definedName name="__PM335">#REF!</definedName>
    <definedName name="__PM346">#REF!</definedName>
    <definedName name="__PM406">#REF!</definedName>
    <definedName name="__PM412">#REF!</definedName>
    <definedName name="__PM609">#REF!</definedName>
    <definedName name="__PM970">#REF!</definedName>
    <definedName name="__PNV2002">#REF!</definedName>
    <definedName name="__PNV2003">#REF!</definedName>
    <definedName name="__PNV2009">#REF!</definedName>
    <definedName name="__PR1004">#REF!</definedName>
    <definedName name="__PR1015">#REF!</definedName>
    <definedName name="__PR1039">#REF!</definedName>
    <definedName name="__PR1050">#REF!</definedName>
    <definedName name="__PR278">#REF!</definedName>
    <definedName name="__PR279">#REF!</definedName>
    <definedName name="__PR450">#REF!</definedName>
    <definedName name="__PR709">#REF!</definedName>
    <definedName name="__PR710">#REF!</definedName>
    <definedName name="__PR711">#REF!</definedName>
    <definedName name="__PR719">#REF!</definedName>
    <definedName name="__PR720">#REF!</definedName>
    <definedName name="__PR819">#REF!</definedName>
    <definedName name="__PR947">#REF!</definedName>
    <definedName name="__PTB10">#REF!</definedName>
    <definedName name="__R" localSheetId="1">#REF!</definedName>
    <definedName name="__R">#REF!</definedName>
    <definedName name="__Rbv1">#REF!</definedName>
    <definedName name="__RP1">#REF!</definedName>
    <definedName name="__Set1">#REF!</definedName>
    <definedName name="__sub1" localSheetId="1">#REF!</definedName>
    <definedName name="__sub1">#REF!</definedName>
    <definedName name="__sub2" localSheetId="1">#REF!</definedName>
    <definedName name="__sub2">#REF!</definedName>
    <definedName name="__sub3" localSheetId="1">#REF!</definedName>
    <definedName name="__sub3">#REF!</definedName>
    <definedName name="__sub4" localSheetId="1">#REF!</definedName>
    <definedName name="__sub4">#REF!</definedName>
    <definedName name="__TB10">#REF!</definedName>
    <definedName name="__tot1" localSheetId="1">#REF!</definedName>
    <definedName name="__tot1">#REF!</definedName>
    <definedName name="__tot2" localSheetId="1">#REF!</definedName>
    <definedName name="__tot2">#REF!</definedName>
    <definedName name="__tot3" localSheetId="1">#REF!</definedName>
    <definedName name="__tot3">#REF!</definedName>
    <definedName name="__tot4" localSheetId="1">#REF!</definedName>
    <definedName name="__tot4">#REF!</definedName>
    <definedName name="__tot5" localSheetId="1">#REF!</definedName>
    <definedName name="__tot5">#REF!</definedName>
    <definedName name="__tot6" localSheetId="1">#REF!</definedName>
    <definedName name="__tot6">#REF!</definedName>
    <definedName name="__tot7" localSheetId="1">#REF!</definedName>
    <definedName name="__tot7">#REF!</definedName>
    <definedName name="__tot8" localSheetId="1">#REF!</definedName>
    <definedName name="__tot8">#REF!</definedName>
    <definedName name="__TSD2">#REF!</definedName>
    <definedName name="__xlfn.BAHTTEXT">#NAME?</definedName>
    <definedName name="__xlfn_IFNA" localSheetId="1">#REF!</definedName>
    <definedName name="__xlfn_IFNA">#REF!</definedName>
    <definedName name="__xlnm.Extract_1">#REF!</definedName>
    <definedName name="__xlnm.Extract_2">#REF!</definedName>
    <definedName name="__xlnm.Extract_3">#REF!</definedName>
    <definedName name="__xlnm.Extract_5">#REF!</definedName>
    <definedName name="__xlnm.Print_Area_1">#REF!</definedName>
    <definedName name="__xlnm.Print_Area_2">#REF!</definedName>
    <definedName name="__xlnm.Print_Area_3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__xlnm.Print_Titles_1">#REF!</definedName>
    <definedName name="__xlnm.Print_Titles_2" localSheetId="1">#REF!</definedName>
    <definedName name="__xlnm.Print_Titles_2">#REF!</definedName>
    <definedName name="__xlnm.Print_Titles_3">#REF!</definedName>
    <definedName name="__xlnm.Print_Titles_5">#REF!</definedName>
    <definedName name="_01_09_96" localSheetId="1">#REF!</definedName>
    <definedName name="_01_09_96">#REF!</definedName>
    <definedName name="_01_09_96_2">#REF!</definedName>
    <definedName name="_01_09_96_4">#REF!</definedName>
    <definedName name="_01_09_966">#REF!</definedName>
    <definedName name="_08.302.01">#REF!</definedName>
    <definedName name="_1_I_1">#REF!</definedName>
    <definedName name="_16.3___VEÍCULOS">#REF!</definedName>
    <definedName name="_16.4___COMBÚSTIVEL">#REF!</definedName>
    <definedName name="_16.5___EQUIPAMENTOS_DE_ESCRITÓRIO">#REF!</definedName>
    <definedName name="_17.1_MENSALISTA">#REF!</definedName>
    <definedName name="_17.2___HORISTA">#REF!</definedName>
    <definedName name="_18___CANTEIRO___INSTALAÇÃO___MANUTENÇÃO">#REF!</definedName>
    <definedName name="_1Excel_BuiltIn__FilterDatabase_3_1">#REF!</definedName>
    <definedName name="_2_S_1">#REF!</definedName>
    <definedName name="_2Excel_BuiltIn__FilterDatabase_3_1_1">#REF!</definedName>
    <definedName name="_a">#REF!</definedName>
    <definedName name="_A1" localSheetId="1">#REF!</definedName>
    <definedName name="_A1">#REF!</definedName>
    <definedName name="_A10">#REF!</definedName>
    <definedName name="_A11">#REF!</definedName>
    <definedName name="_A12">#REF!</definedName>
    <definedName name="_A13">#REF!</definedName>
    <definedName name="_A15">#REF!</definedName>
    <definedName name="_A16">#REF!</definedName>
    <definedName name="_A17">#REF!</definedName>
    <definedName name="_A19">#REF!</definedName>
    <definedName name="_A2">#REF!</definedName>
    <definedName name="_A20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3">#REF!</definedName>
    <definedName name="_A4">#REF!</definedName>
    <definedName name="_A5">#REF!</definedName>
    <definedName name="_A6">#REF!</definedName>
    <definedName name="_A7">#REF!</definedName>
    <definedName name="_A9">#REF!</definedName>
    <definedName name="_Abr1">#REF!</definedName>
    <definedName name="_Ago1">#REF!</definedName>
    <definedName name="_ATD1">#REF!</definedName>
    <definedName name="_Aut2">#REF!</definedName>
    <definedName name="_brv2">#REF!</definedName>
    <definedName name="_C" localSheetId="1">[1]reforma!#REF!</definedName>
    <definedName name="_C">[1]reforma!#REF!</definedName>
    <definedName name="_C_1" localSheetId="1">[1]reforma!#REF!</definedName>
    <definedName name="_C_1">[1]reforma!#REF!</definedName>
    <definedName name="_cab1" localSheetId="1">#REF!</definedName>
    <definedName name="_cab1">#REF!</definedName>
    <definedName name="_CAP20">#REF!</definedName>
    <definedName name="_CC709">#REF!</definedName>
    <definedName name="_CC709_10">#REF!</definedName>
    <definedName name="_CC709_11">#REF!</definedName>
    <definedName name="_CC709_12">#REF!</definedName>
    <definedName name="_CC709_13">#REF!</definedName>
    <definedName name="_CC709_14">#REF!</definedName>
    <definedName name="_CC709_15">#REF!</definedName>
    <definedName name="_CC709_16">#REF!</definedName>
    <definedName name="_CC709_17">#REF!</definedName>
    <definedName name="_CC709_18">#REF!</definedName>
    <definedName name="_CC709_5">#REF!</definedName>
    <definedName name="_CC709_6">#REF!</definedName>
    <definedName name="_CC709_7">#REF!</definedName>
    <definedName name="_CC709_8">#REF!</definedName>
    <definedName name="_CC709_9">#REF!</definedName>
    <definedName name="_CC947">#REF!</definedName>
    <definedName name="_CCM30">#REF!</definedName>
    <definedName name="_COM010201" localSheetId="1">#REF!</definedName>
    <definedName name="_COM010201">#REF!</definedName>
    <definedName name="_COM010202" localSheetId="1">#REF!</definedName>
    <definedName name="_COM010202">#REF!</definedName>
    <definedName name="_COM010205" localSheetId="1">#REF!</definedName>
    <definedName name="_COM010205">#REF!</definedName>
    <definedName name="_COM010206" localSheetId="1">#REF!</definedName>
    <definedName name="_COM010206">#REF!</definedName>
    <definedName name="_COM010210" localSheetId="1">#REF!</definedName>
    <definedName name="_COM010210">#REF!</definedName>
    <definedName name="_COM010301" localSheetId="1">#REF!</definedName>
    <definedName name="_COM010301">#REF!</definedName>
    <definedName name="_COM010401" localSheetId="1">#REF!</definedName>
    <definedName name="_COM010401">#REF!</definedName>
    <definedName name="_COM010402" localSheetId="1">#REF!</definedName>
    <definedName name="_COM010402">#REF!</definedName>
    <definedName name="_COM010407" localSheetId="1">#REF!</definedName>
    <definedName name="_COM010407">#REF!</definedName>
    <definedName name="_COM010413" localSheetId="1">#REF!</definedName>
    <definedName name="_COM010413">#REF!</definedName>
    <definedName name="_COM010501" localSheetId="1">#REF!</definedName>
    <definedName name="_COM010501">#REF!</definedName>
    <definedName name="_COM010503" localSheetId="1">#REF!</definedName>
    <definedName name="_COM010503">#REF!</definedName>
    <definedName name="_COM010505" localSheetId="1">#REF!</definedName>
    <definedName name="_COM010505">#REF!</definedName>
    <definedName name="_COM010509" localSheetId="1">#REF!</definedName>
    <definedName name="_COM010509">#REF!</definedName>
    <definedName name="_COM010512" localSheetId="1">#REF!</definedName>
    <definedName name="_COM010512">#REF!</definedName>
    <definedName name="_COM010518" localSheetId="1">#REF!</definedName>
    <definedName name="_COM010518">#REF!</definedName>
    <definedName name="_COM010519" localSheetId="1">#REF!</definedName>
    <definedName name="_COM010519">#REF!</definedName>
    <definedName name="_COM010521" localSheetId="1">#REF!</definedName>
    <definedName name="_COM010521">#REF!</definedName>
    <definedName name="_COM010523" localSheetId="1">#REF!</definedName>
    <definedName name="_COM010523">#REF!</definedName>
    <definedName name="_COM010532" localSheetId="1">#REF!</definedName>
    <definedName name="_COM010532">#REF!</definedName>
    <definedName name="_COM010533" localSheetId="1">#REF!</definedName>
    <definedName name="_COM010533">#REF!</definedName>
    <definedName name="_COM010536" localSheetId="1">#REF!</definedName>
    <definedName name="_COM010536">#REF!</definedName>
    <definedName name="_COM010701" localSheetId="1">#REF!</definedName>
    <definedName name="_COM010701">#REF!</definedName>
    <definedName name="_COM010703" localSheetId="1">#REF!</definedName>
    <definedName name="_COM010703">#REF!</definedName>
    <definedName name="_COM010705" localSheetId="1">#REF!</definedName>
    <definedName name="_COM010705">#REF!</definedName>
    <definedName name="_COM010708" localSheetId="1">#REF!</definedName>
    <definedName name="_COM010708">#REF!</definedName>
    <definedName name="_COM010710" localSheetId="1">#REF!</definedName>
    <definedName name="_COM010710">#REF!</definedName>
    <definedName name="_COM010712" localSheetId="1">#REF!</definedName>
    <definedName name="_COM010712">#REF!</definedName>
    <definedName name="_COM010717" localSheetId="1">#REF!</definedName>
    <definedName name="_COM010717">#REF!</definedName>
    <definedName name="_COM010718" localSheetId="1">#REF!</definedName>
    <definedName name="_COM010718">#REF!</definedName>
    <definedName name="_COM020201" localSheetId="1">#REF!</definedName>
    <definedName name="_COM020201">#REF!</definedName>
    <definedName name="_COM020205" localSheetId="1">#REF!</definedName>
    <definedName name="_COM020205">#REF!</definedName>
    <definedName name="_COM020211" localSheetId="1">#REF!</definedName>
    <definedName name="_COM020211">#REF!</definedName>
    <definedName name="_COM020217" localSheetId="1">#REF!</definedName>
    <definedName name="_COM020217">#REF!</definedName>
    <definedName name="_COM030102" localSheetId="1">#REF!</definedName>
    <definedName name="_COM030102">#REF!</definedName>
    <definedName name="_COM030201" localSheetId="1">#REF!</definedName>
    <definedName name="_COM030201">#REF!</definedName>
    <definedName name="_COM030303" localSheetId="1">#REF!</definedName>
    <definedName name="_COM030303">#REF!</definedName>
    <definedName name="_COM030317" localSheetId="1">#REF!</definedName>
    <definedName name="_COM030317">#REF!</definedName>
    <definedName name="_COM040101" localSheetId="1">#REF!</definedName>
    <definedName name="_COM040101">#REF!</definedName>
    <definedName name="_COM040202" localSheetId="1">#REF!</definedName>
    <definedName name="_COM040202">#REF!</definedName>
    <definedName name="_COM050103" localSheetId="1">#REF!</definedName>
    <definedName name="_COM050103">#REF!</definedName>
    <definedName name="_COM050207" localSheetId="1">#REF!</definedName>
    <definedName name="_COM050207">#REF!</definedName>
    <definedName name="_COM060101" localSheetId="1">#REF!</definedName>
    <definedName name="_COM060101">#REF!</definedName>
    <definedName name="_COM080101" localSheetId="1">#REF!</definedName>
    <definedName name="_COM080101">#REF!</definedName>
    <definedName name="_COM080310" localSheetId="1">#REF!</definedName>
    <definedName name="_COM080310">#REF!</definedName>
    <definedName name="_COM090101" localSheetId="1">#REF!</definedName>
    <definedName name="_COM090101">#REF!</definedName>
    <definedName name="_COM100302" localSheetId="1">#REF!</definedName>
    <definedName name="_COM100302">#REF!</definedName>
    <definedName name="_COM110101" localSheetId="1">#REF!</definedName>
    <definedName name="_COM110101">#REF!</definedName>
    <definedName name="_COM110104" localSheetId="1">#REF!</definedName>
    <definedName name="_COM110104">#REF!</definedName>
    <definedName name="_COM110107" localSheetId="1">#REF!</definedName>
    <definedName name="_COM110107">#REF!</definedName>
    <definedName name="_COM120101" localSheetId="1">#REF!</definedName>
    <definedName name="_COM120101">#REF!</definedName>
    <definedName name="_COM120105" localSheetId="1">#REF!</definedName>
    <definedName name="_COM120105">#REF!</definedName>
    <definedName name="_COM120106" localSheetId="1">#REF!</definedName>
    <definedName name="_COM120106">#REF!</definedName>
    <definedName name="_COM120107" localSheetId="1">#REF!</definedName>
    <definedName name="_COM120107">#REF!</definedName>
    <definedName name="_COM120110" localSheetId="1">#REF!</definedName>
    <definedName name="_COM120110">#REF!</definedName>
    <definedName name="_COM120150" localSheetId="1">#REF!</definedName>
    <definedName name="_COM120150">#REF!</definedName>
    <definedName name="_COM130101" localSheetId="1">#REF!</definedName>
    <definedName name="_COM130101">#REF!</definedName>
    <definedName name="_COM130103" localSheetId="1">#REF!</definedName>
    <definedName name="_COM130103">#REF!</definedName>
    <definedName name="_COM130304" localSheetId="1">#REF!</definedName>
    <definedName name="_COM130304">#REF!</definedName>
    <definedName name="_COM130401" localSheetId="1">#REF!</definedName>
    <definedName name="_COM130401">#REF!</definedName>
    <definedName name="_COM140102" localSheetId="1">#REF!</definedName>
    <definedName name="_COM140102">#REF!</definedName>
    <definedName name="_COM140109" localSheetId="1">#REF!</definedName>
    <definedName name="_COM140109">#REF!</definedName>
    <definedName name="_COM140113" localSheetId="1">#REF!</definedName>
    <definedName name="_COM140113">#REF!</definedName>
    <definedName name="_COM140122" localSheetId="1">#REF!</definedName>
    <definedName name="_COM140122">#REF!</definedName>
    <definedName name="_COM140126" localSheetId="1">#REF!</definedName>
    <definedName name="_COM140126">#REF!</definedName>
    <definedName name="_COM140129" localSheetId="1">#REF!</definedName>
    <definedName name="_COM140129">#REF!</definedName>
    <definedName name="_COM140135" localSheetId="1">#REF!</definedName>
    <definedName name="_COM140135">#REF!</definedName>
    <definedName name="_COM140143" localSheetId="1">#REF!</definedName>
    <definedName name="_COM140143">#REF!</definedName>
    <definedName name="_COM140145" localSheetId="1">#REF!</definedName>
    <definedName name="_COM140145">#REF!</definedName>
    <definedName name="_COM150130" localSheetId="1">#REF!</definedName>
    <definedName name="_COM150130">#REF!</definedName>
    <definedName name="_COM170101" localSheetId="1">#REF!</definedName>
    <definedName name="_COM170101">#REF!</definedName>
    <definedName name="_COM170102" localSheetId="1">#REF!</definedName>
    <definedName name="_COM170102">#REF!</definedName>
    <definedName name="_COM170103" localSheetId="1">#REF!</definedName>
    <definedName name="_COM170103">#REF!</definedName>
    <definedName name="_cron." localSheetId="1" hidden="1">#REF!</definedName>
    <definedName name="_cron.">#REF!</definedName>
    <definedName name="_D" localSheetId="1">[1]reforma!#REF!</definedName>
    <definedName name="_D">[1]reforma!#REF!</definedName>
    <definedName name="_D_1" localSheetId="1">[1]reforma!#REF!</definedName>
    <definedName name="_D_1">[1]reforma!#REF!</definedName>
    <definedName name="_Dez1" localSheetId="1">#REF!</definedName>
    <definedName name="_Dez1">#REF!</definedName>
    <definedName name="_DIV1004">#REF!</definedName>
    <definedName name="_DIV1015">#REF!</definedName>
    <definedName name="_DIV1039">#REF!</definedName>
    <definedName name="_DIV1050">#REF!</definedName>
    <definedName name="_DIV278">#REF!</definedName>
    <definedName name="_DIV279">#REF!</definedName>
    <definedName name="_DIV45">#REF!</definedName>
    <definedName name="_DIV450">#REF!</definedName>
    <definedName name="_DIV709">#REF!</definedName>
    <definedName name="_DIV710">#REF!</definedName>
    <definedName name="_DIV711">#REF!</definedName>
    <definedName name="_DIV718">#REF!</definedName>
    <definedName name="_DIV719">#REF!</definedName>
    <definedName name="_DIV720">#REF!</definedName>
    <definedName name="_DIV819">#REF!</definedName>
    <definedName name="_DIV947">#REF!</definedName>
    <definedName name="_DND2">#REF!</definedName>
    <definedName name="_DND2_10">#REF!</definedName>
    <definedName name="_DND2_11">#REF!</definedName>
    <definedName name="_DND2_12">#REF!</definedName>
    <definedName name="_DND2_13">#REF!</definedName>
    <definedName name="_DND2_14">#REF!</definedName>
    <definedName name="_DND2_15">#REF!</definedName>
    <definedName name="_DND2_16">#REF!</definedName>
    <definedName name="_DND2_17">#REF!</definedName>
    <definedName name="_DND2_18">#REF!</definedName>
    <definedName name="_DND2_5">#REF!</definedName>
    <definedName name="_DND2_6">#REF!</definedName>
    <definedName name="_DND2_7">#REF!</definedName>
    <definedName name="_DND2_8">#REF!</definedName>
    <definedName name="_DND2_9">#REF!</definedName>
    <definedName name="_eap1">#REF!</definedName>
    <definedName name="_ELE1" localSheetId="1">#REF!</definedName>
    <definedName name="_ELE1">#REF!</definedName>
    <definedName name="_ELE2" localSheetId="1">#REF!</definedName>
    <definedName name="_ELE2">#REF!</definedName>
    <definedName name="_ELE3" localSheetId="1">#REF!</definedName>
    <definedName name="_ELE3">#REF!</definedName>
    <definedName name="_eu2" localSheetId="1" hidden="1">{#N/A,#N/A,FALSE,"MO (2)"}</definedName>
    <definedName name="_eu2">{#N/A,#N/A,FALSE,"MO (2)"}</definedName>
    <definedName name="_Ext2" localSheetId="1">#REF!</definedName>
    <definedName name="_Ext2">#REF!</definedName>
    <definedName name="_Ext2_3">#REF!</definedName>
    <definedName name="_Ext2_4">#REF!</definedName>
    <definedName name="_Ext2_5">#REF!</definedName>
    <definedName name="_Ext22">#REF!</definedName>
    <definedName name="_FCCEMED_">[1]reforma!#REF!</definedName>
    <definedName name="_Fev1" localSheetId="1">#REF!</definedName>
    <definedName name="_Fev1">#REF!</definedName>
    <definedName name="_Fill" localSheetId="1" hidden="1">#REF!</definedName>
    <definedName name="_Fill">#REF!</definedName>
    <definedName name="_G" localSheetId="1">[1]reforma!#REF!</definedName>
    <definedName name="_G">[1]reforma!#REF!</definedName>
    <definedName name="_G_1" localSheetId="1">[1]reforma!#REF!</definedName>
    <definedName name="_G_1">[1]reforma!#REF!</definedName>
    <definedName name="_GLB2" localSheetId="1">#REF!</definedName>
    <definedName name="_GLB2">#REF!</definedName>
    <definedName name="_GOTO_D1_" localSheetId="1">[1]reforma!#REF!</definedName>
    <definedName name="_GOTO_D1_">[1]reforma!#REF!</definedName>
    <definedName name="_GOTO_E1_" localSheetId="1">[1]reforma!#REF!</definedName>
    <definedName name="_GOTO_E1_">[1]reforma!#REF!</definedName>
    <definedName name="_GOTO_N1_" localSheetId="1">[1]reforma!#REF!</definedName>
    <definedName name="_GOTO_N1_">[1]reforma!#REF!</definedName>
    <definedName name="_H111118" localSheetId="1">#REF!</definedName>
    <definedName name="_H111118">#REF!</definedName>
    <definedName name="_H121118">#REF!</definedName>
    <definedName name="_HCB5">#REF!</definedName>
    <definedName name="_HOME__" localSheetId="1">[1]reforma!#REF!</definedName>
    <definedName name="_HOME__">[1]reforma!#REF!</definedName>
    <definedName name="_I" localSheetId="1">[1]reforma!#REF!</definedName>
    <definedName name="_I">[1]reforma!#REF!</definedName>
    <definedName name="_I_1" localSheetId="1">[1]reforma!#REF!</definedName>
    <definedName name="_I_1">[1]reforma!#REF!</definedName>
    <definedName name="_I_1_1" localSheetId="1">#REF!</definedName>
    <definedName name="_I_1_1">#REF!</definedName>
    <definedName name="_I_1_1_1">#REF!</definedName>
    <definedName name="_I_1_1_19">#REF!</definedName>
    <definedName name="_I_1_19">#REF!</definedName>
    <definedName name="_I_19">#REF!</definedName>
    <definedName name="_i3" localSheetId="1">#REF!</definedName>
    <definedName name="_i3">#REF!</definedName>
    <definedName name="_IRM1" localSheetId="1" hidden="1">{#N/A,#N/A,FALSE,"MO (2)"}</definedName>
    <definedName name="_IRM1">{#N/A,#N/A,FALSE,"MO (2)"}</definedName>
    <definedName name="_Jan1" localSheetId="1">#REF!</definedName>
    <definedName name="_Jan1">#REF!</definedName>
    <definedName name="_JAN2003">#REF!</definedName>
    <definedName name="_Jul1">#REF!</definedName>
    <definedName name="_Jun1">#REF!</definedName>
    <definedName name="_Key1" localSheetId="1" hidden="1">#REF!</definedName>
    <definedName name="_Key1">#REF!</definedName>
    <definedName name="_Key2" localSheetId="1" hidden="1">#REF!</definedName>
    <definedName name="_Key2">#REF!</definedName>
    <definedName name="_ki5">#REF!</definedName>
    <definedName name="_ki5_3">#REF!</definedName>
    <definedName name="_ki5_4">#REF!</definedName>
    <definedName name="_ki5_5">#REF!</definedName>
    <definedName name="_kit55">#REF!</definedName>
    <definedName name="_KM406407">#REF!</definedName>
    <definedName name="_KM406407_10">#REF!</definedName>
    <definedName name="_KM406407_11">#REF!</definedName>
    <definedName name="_KM406407_12">#REF!</definedName>
    <definedName name="_KM406407_13">#REF!</definedName>
    <definedName name="_KM406407_14">#REF!</definedName>
    <definedName name="_KM406407_15">#REF!</definedName>
    <definedName name="_KM406407_16">#REF!</definedName>
    <definedName name="_KM406407_17">#REF!</definedName>
    <definedName name="_KM406407_18">#REF!</definedName>
    <definedName name="_KM406407_5">#REF!</definedName>
    <definedName name="_KM406407_6">#REF!</definedName>
    <definedName name="_KM406407_7">#REF!</definedName>
    <definedName name="_KM406407_8">#REF!</definedName>
    <definedName name="_KM406407_9">#REF!</definedName>
    <definedName name="_la2">#REF!</definedName>
    <definedName name="_LO1004">#REF!</definedName>
    <definedName name="_LO1015">#REF!</definedName>
    <definedName name="_LO1039">#REF!</definedName>
    <definedName name="_LO1050">#REF!</definedName>
    <definedName name="_LO278">#REF!</definedName>
    <definedName name="_LO279">#REF!</definedName>
    <definedName name="_LO450">#REF!</definedName>
    <definedName name="_LO709">#REF!</definedName>
    <definedName name="_LO710">#REF!</definedName>
    <definedName name="_LO711">#REF!</definedName>
    <definedName name="_LO719">#REF!</definedName>
    <definedName name="_LO720">#REF!</definedName>
    <definedName name="_LO819">#REF!</definedName>
    <definedName name="_LO947">#REF!</definedName>
    <definedName name="_M" localSheetId="1">[1]reforma!#REF!</definedName>
    <definedName name="_M">[1]reforma!#REF!</definedName>
    <definedName name="_M_1" localSheetId="1">[1]reforma!#REF!</definedName>
    <definedName name="_M_1">[1]reforma!#REF!</definedName>
    <definedName name="_Mai1" localSheetId="1">#REF!</definedName>
    <definedName name="_Mai1">#REF!</definedName>
    <definedName name="_MAO010201" localSheetId="1">#REF!</definedName>
    <definedName name="_MAO010201">#REF!</definedName>
    <definedName name="_MAO010202" localSheetId="1">#REF!</definedName>
    <definedName name="_MAO010202">#REF!</definedName>
    <definedName name="_MAO010205" localSheetId="1">#REF!</definedName>
    <definedName name="_MAO010205">#REF!</definedName>
    <definedName name="_MAO010206" localSheetId="1">#REF!</definedName>
    <definedName name="_MAO010206">#REF!</definedName>
    <definedName name="_MAO010210" localSheetId="1">#REF!</definedName>
    <definedName name="_MAO010210">#REF!</definedName>
    <definedName name="_MAO010401" localSheetId="1">#REF!</definedName>
    <definedName name="_MAO010401">#REF!</definedName>
    <definedName name="_MAO010402" localSheetId="1">#REF!</definedName>
    <definedName name="_MAO010402">#REF!</definedName>
    <definedName name="_MAO010407" localSheetId="1">#REF!</definedName>
    <definedName name="_MAO010407">#REF!</definedName>
    <definedName name="_MAO010413" localSheetId="1">#REF!</definedName>
    <definedName name="_MAO010413">#REF!</definedName>
    <definedName name="_MAO010501" localSheetId="1">#REF!</definedName>
    <definedName name="_MAO010501">#REF!</definedName>
    <definedName name="_MAO010503" localSheetId="1">#REF!</definedName>
    <definedName name="_MAO010503">#REF!</definedName>
    <definedName name="_MAO010505" localSheetId="1">#REF!</definedName>
    <definedName name="_MAO010505">#REF!</definedName>
    <definedName name="_MAO010509" localSheetId="1">#REF!</definedName>
    <definedName name="_MAO010509">#REF!</definedName>
    <definedName name="_MAO010512" localSheetId="1">#REF!</definedName>
    <definedName name="_MAO010512">#REF!</definedName>
    <definedName name="_MAO010518" localSheetId="1">#REF!</definedName>
    <definedName name="_MAO010518">#REF!</definedName>
    <definedName name="_MAO010519" localSheetId="1">#REF!</definedName>
    <definedName name="_MAO010519">#REF!</definedName>
    <definedName name="_MAO010521" localSheetId="1">#REF!</definedName>
    <definedName name="_MAO010521">#REF!</definedName>
    <definedName name="_MAO010523" localSheetId="1">#REF!</definedName>
    <definedName name="_MAO010523">#REF!</definedName>
    <definedName name="_MAO010532" localSheetId="1">#REF!</definedName>
    <definedName name="_MAO010532">#REF!</definedName>
    <definedName name="_MAO010533" localSheetId="1">#REF!</definedName>
    <definedName name="_MAO010533">#REF!</definedName>
    <definedName name="_MAO010536" localSheetId="1">#REF!</definedName>
    <definedName name="_MAO010536">#REF!</definedName>
    <definedName name="_MAO010701" localSheetId="1">#REF!</definedName>
    <definedName name="_MAO010701">#REF!</definedName>
    <definedName name="_MAO010703" localSheetId="1">#REF!</definedName>
    <definedName name="_MAO010703">#REF!</definedName>
    <definedName name="_MAO010705" localSheetId="1">#REF!</definedName>
    <definedName name="_MAO010705">#REF!</definedName>
    <definedName name="_MAO010708" localSheetId="1">#REF!</definedName>
    <definedName name="_MAO010708">#REF!</definedName>
    <definedName name="_MAO010710" localSheetId="1">#REF!</definedName>
    <definedName name="_MAO010710">#REF!</definedName>
    <definedName name="_MAO010712" localSheetId="1">#REF!</definedName>
    <definedName name="_MAO010712">#REF!</definedName>
    <definedName name="_MAO010717" localSheetId="1">#REF!</definedName>
    <definedName name="_MAO010717">#REF!</definedName>
    <definedName name="_MAO020201" localSheetId="1">#REF!</definedName>
    <definedName name="_MAO020201">#REF!</definedName>
    <definedName name="_MAO020205" localSheetId="1">#REF!</definedName>
    <definedName name="_MAO020205">#REF!</definedName>
    <definedName name="_MAO020211" localSheetId="1">#REF!</definedName>
    <definedName name="_MAO020211">#REF!</definedName>
    <definedName name="_MAO020217" localSheetId="1">#REF!</definedName>
    <definedName name="_MAO020217">#REF!</definedName>
    <definedName name="_MAO030102" localSheetId="1">#REF!</definedName>
    <definedName name="_MAO030102">#REF!</definedName>
    <definedName name="_MAO030201" localSheetId="1">#REF!</definedName>
    <definedName name="_MAO030201">#REF!</definedName>
    <definedName name="_MAO030303" localSheetId="1">#REF!</definedName>
    <definedName name="_MAO030303">#REF!</definedName>
    <definedName name="_MAO030317" localSheetId="1">#REF!</definedName>
    <definedName name="_MAO030317">#REF!</definedName>
    <definedName name="_MAO040101" localSheetId="1">#REF!</definedName>
    <definedName name="_MAO040101">#REF!</definedName>
    <definedName name="_MAO040202" localSheetId="1">#REF!</definedName>
    <definedName name="_MAO040202">#REF!</definedName>
    <definedName name="_MAO050103" localSheetId="1">#REF!</definedName>
    <definedName name="_MAO050103">#REF!</definedName>
    <definedName name="_MAO050207" localSheetId="1">#REF!</definedName>
    <definedName name="_MAO050207">#REF!</definedName>
    <definedName name="_MAO060101" localSheetId="1">#REF!</definedName>
    <definedName name="_MAO060101">#REF!</definedName>
    <definedName name="_MAO080310" localSheetId="1">#REF!</definedName>
    <definedName name="_MAO080310">#REF!</definedName>
    <definedName name="_MAO090101" localSheetId="1">#REF!</definedName>
    <definedName name="_MAO090101">#REF!</definedName>
    <definedName name="_MAO110101" localSheetId="1">#REF!</definedName>
    <definedName name="_MAO110101">#REF!</definedName>
    <definedName name="_MAO110104" localSheetId="1">#REF!</definedName>
    <definedName name="_MAO110104">#REF!</definedName>
    <definedName name="_MAO110107" localSheetId="1">#REF!</definedName>
    <definedName name="_MAO110107">#REF!</definedName>
    <definedName name="_MAO120101" localSheetId="1">#REF!</definedName>
    <definedName name="_MAO120101">#REF!</definedName>
    <definedName name="_MAO120105" localSheetId="1">#REF!</definedName>
    <definedName name="_MAO120105">#REF!</definedName>
    <definedName name="_MAO120106" localSheetId="1">#REF!</definedName>
    <definedName name="_MAO120106">#REF!</definedName>
    <definedName name="_MAO120107" localSheetId="1">#REF!</definedName>
    <definedName name="_MAO120107">#REF!</definedName>
    <definedName name="_MAO120110" localSheetId="1">#REF!</definedName>
    <definedName name="_MAO120110">#REF!</definedName>
    <definedName name="_MAO120150" localSheetId="1">#REF!</definedName>
    <definedName name="_MAO120150">#REF!</definedName>
    <definedName name="_MAO130101" localSheetId="1">#REF!</definedName>
    <definedName name="_MAO130101">#REF!</definedName>
    <definedName name="_MAO130103" localSheetId="1">#REF!</definedName>
    <definedName name="_MAO130103">#REF!</definedName>
    <definedName name="_MAO130304" localSheetId="1">#REF!</definedName>
    <definedName name="_MAO130304">#REF!</definedName>
    <definedName name="_MAO130401" localSheetId="1">#REF!</definedName>
    <definedName name="_MAO130401">#REF!</definedName>
    <definedName name="_MAO140102" localSheetId="1">#REF!</definedName>
    <definedName name="_MAO140102">#REF!</definedName>
    <definedName name="_MAO140109" localSheetId="1">#REF!</definedName>
    <definedName name="_MAO140109">#REF!</definedName>
    <definedName name="_MAO140113" localSheetId="1">#REF!</definedName>
    <definedName name="_MAO140113">#REF!</definedName>
    <definedName name="_MAO140122" localSheetId="1">#REF!</definedName>
    <definedName name="_MAO140122">#REF!</definedName>
    <definedName name="_MAO140126" localSheetId="1">#REF!</definedName>
    <definedName name="_MAO140126">#REF!</definedName>
    <definedName name="_MAO140129" localSheetId="1">#REF!</definedName>
    <definedName name="_MAO140129">#REF!</definedName>
    <definedName name="_MAO140135" localSheetId="1">#REF!</definedName>
    <definedName name="_MAO140135">#REF!</definedName>
    <definedName name="_MAO140143" localSheetId="1">#REF!</definedName>
    <definedName name="_MAO140143">#REF!</definedName>
    <definedName name="_MAO140145" localSheetId="1">#REF!</definedName>
    <definedName name="_MAO140145">#REF!</definedName>
    <definedName name="_Mar1">#REF!</definedName>
    <definedName name="_MAT010301" localSheetId="1">#REF!</definedName>
    <definedName name="_MAT010301">#REF!</definedName>
    <definedName name="_MAT010401" localSheetId="1">#REF!</definedName>
    <definedName name="_MAT010401">#REF!</definedName>
    <definedName name="_MAT010402" localSheetId="1">#REF!</definedName>
    <definedName name="_MAT010402">#REF!</definedName>
    <definedName name="_MAT010407" localSheetId="1">#REF!</definedName>
    <definedName name="_MAT010407">#REF!</definedName>
    <definedName name="_MAT010413" localSheetId="1">#REF!</definedName>
    <definedName name="_MAT010413">#REF!</definedName>
    <definedName name="_MAT010536" localSheetId="1">#REF!</definedName>
    <definedName name="_MAT010536">#REF!</definedName>
    <definedName name="_MAT010703" localSheetId="1">#REF!</definedName>
    <definedName name="_MAT010703">#REF!</definedName>
    <definedName name="_MAT010708" localSheetId="1">#REF!</definedName>
    <definedName name="_MAT010708">#REF!</definedName>
    <definedName name="_MAT010710" localSheetId="1">#REF!</definedName>
    <definedName name="_MAT010710">#REF!</definedName>
    <definedName name="_MAT010718" localSheetId="1">#REF!</definedName>
    <definedName name="_MAT010718">#REF!</definedName>
    <definedName name="_MAT020201" localSheetId="1">#REF!</definedName>
    <definedName name="_MAT020201">#REF!</definedName>
    <definedName name="_MAT020205" localSheetId="1">#REF!</definedName>
    <definedName name="_MAT020205">#REF!</definedName>
    <definedName name="_MAT020211" localSheetId="1">#REF!</definedName>
    <definedName name="_MAT020211">#REF!</definedName>
    <definedName name="_MAT030102" localSheetId="1">#REF!</definedName>
    <definedName name="_MAT030102">#REF!</definedName>
    <definedName name="_MAT030201" localSheetId="1">#REF!</definedName>
    <definedName name="_MAT030201">#REF!</definedName>
    <definedName name="_MAT030303" localSheetId="1">#REF!</definedName>
    <definedName name="_MAT030303">#REF!</definedName>
    <definedName name="_MAT030317" localSheetId="1">#REF!</definedName>
    <definedName name="_MAT030317">#REF!</definedName>
    <definedName name="_MAT040101" localSheetId="1">#REF!</definedName>
    <definedName name="_MAT040101">#REF!</definedName>
    <definedName name="_MAT040202" localSheetId="1">#REF!</definedName>
    <definedName name="_MAT040202">#REF!</definedName>
    <definedName name="_MAT050103" localSheetId="1">#REF!</definedName>
    <definedName name="_MAT050103">#REF!</definedName>
    <definedName name="_MAT050207" localSheetId="1">#REF!</definedName>
    <definedName name="_MAT050207">#REF!</definedName>
    <definedName name="_MAT060101" localSheetId="1">#REF!</definedName>
    <definedName name="_MAT060101">#REF!</definedName>
    <definedName name="_MAT080101" localSheetId="1">#REF!</definedName>
    <definedName name="_MAT080101">#REF!</definedName>
    <definedName name="_MAT080310" localSheetId="1">#REF!</definedName>
    <definedName name="_MAT080310">#REF!</definedName>
    <definedName name="_MAT090101" localSheetId="1">#REF!</definedName>
    <definedName name="_MAT090101">#REF!</definedName>
    <definedName name="_MAT100302" localSheetId="1">#REF!</definedName>
    <definedName name="_MAT100302">#REF!</definedName>
    <definedName name="_MAT110101" localSheetId="1">#REF!</definedName>
    <definedName name="_MAT110101">#REF!</definedName>
    <definedName name="_MAT110104" localSheetId="1">#REF!</definedName>
    <definedName name="_MAT110104">#REF!</definedName>
    <definedName name="_MAT110107" localSheetId="1">#REF!</definedName>
    <definedName name="_MAT110107">#REF!</definedName>
    <definedName name="_MAT120101" localSheetId="1">#REF!</definedName>
    <definedName name="_MAT120101">#REF!</definedName>
    <definedName name="_MAT120105" localSheetId="1">#REF!</definedName>
    <definedName name="_MAT120105">#REF!</definedName>
    <definedName name="_MAT120106" localSheetId="1">#REF!</definedName>
    <definedName name="_MAT120106">#REF!</definedName>
    <definedName name="_MAT120107" localSheetId="1">#REF!</definedName>
    <definedName name="_MAT120107">#REF!</definedName>
    <definedName name="_MAT120110" localSheetId="1">#REF!</definedName>
    <definedName name="_MAT120110">#REF!</definedName>
    <definedName name="_MAT120150" localSheetId="1">#REF!</definedName>
    <definedName name="_MAT120150">#REF!</definedName>
    <definedName name="_MAT130101" localSheetId="1">#REF!</definedName>
    <definedName name="_MAT130101">#REF!</definedName>
    <definedName name="_MAT130103" localSheetId="1">#REF!</definedName>
    <definedName name="_MAT130103">#REF!</definedName>
    <definedName name="_MAT130304" localSheetId="1">#REF!</definedName>
    <definedName name="_MAT130304">#REF!</definedName>
    <definedName name="_MAT130401" localSheetId="1">#REF!</definedName>
    <definedName name="_MAT130401">#REF!</definedName>
    <definedName name="_MAT140102" localSheetId="1">#REF!</definedName>
    <definedName name="_MAT140102">#REF!</definedName>
    <definedName name="_MAT140109" localSheetId="1">#REF!</definedName>
    <definedName name="_MAT140109">#REF!</definedName>
    <definedName name="_MAT140113" localSheetId="1">#REF!</definedName>
    <definedName name="_MAT140113">#REF!</definedName>
    <definedName name="_MAT140122" localSheetId="1">#REF!</definedName>
    <definedName name="_MAT140122">#REF!</definedName>
    <definedName name="_MAT140126" localSheetId="1">#REF!</definedName>
    <definedName name="_MAT140126">#REF!</definedName>
    <definedName name="_MAT140129" localSheetId="1">#REF!</definedName>
    <definedName name="_MAT140129">#REF!</definedName>
    <definedName name="_MAT140135" localSheetId="1">#REF!</definedName>
    <definedName name="_MAT140135">#REF!</definedName>
    <definedName name="_MAT140143" localSheetId="1">#REF!</definedName>
    <definedName name="_MAT140143">#REF!</definedName>
    <definedName name="_MAT140145" localSheetId="1">#REF!</definedName>
    <definedName name="_MAT140145">#REF!</definedName>
    <definedName name="_MAT150130" localSheetId="1">#REF!</definedName>
    <definedName name="_MAT150130">#REF!</definedName>
    <definedName name="_MAT170101" localSheetId="1">#REF!</definedName>
    <definedName name="_MAT170101">#REF!</definedName>
    <definedName name="_MAT170102" localSheetId="1">#REF!</definedName>
    <definedName name="_MAT170102">#REF!</definedName>
    <definedName name="_MAT170103" localSheetId="1">#REF!</definedName>
    <definedName name="_MAT170103">#REF!</definedName>
    <definedName name="_MatMult_A" localSheetId="1" hidden="1">#REF!</definedName>
    <definedName name="_MatMult_A">#REF!</definedName>
    <definedName name="_MatMult_AxB" localSheetId="1" hidden="1">#REF!</definedName>
    <definedName name="_MatMult_AxB">#REF!</definedName>
    <definedName name="_MatMult_B" localSheetId="1" hidden="1">#REF!</definedName>
    <definedName name="_MatMult_B">#REF!</definedName>
    <definedName name="_MDO1">[4]INSUMOS!$C$8</definedName>
    <definedName name="_MDO2" localSheetId="1">[5]Insumos!$C$6</definedName>
    <definedName name="_MDO2">[6]INSUMOS!$C$6</definedName>
    <definedName name="_ME10005" localSheetId="1">#REF!</definedName>
    <definedName name="_ME10005">#REF!</definedName>
    <definedName name="_ME1004">#REF!</definedName>
    <definedName name="_ME1015">#REF!</definedName>
    <definedName name="_ME1039">#REF!</definedName>
    <definedName name="_ME1050">#REF!</definedName>
    <definedName name="_ME278">#REF!</definedName>
    <definedName name="_ME279">#REF!</definedName>
    <definedName name="_ME450">#REF!</definedName>
    <definedName name="_ME709">#REF!</definedName>
    <definedName name="_ME710">#REF!</definedName>
    <definedName name="_ME711">#REF!</definedName>
    <definedName name="_ME719">#REF!</definedName>
    <definedName name="_ME720">#REF!</definedName>
    <definedName name="_ME819">#REF!</definedName>
    <definedName name="_ME947">#REF!</definedName>
    <definedName name="_MNS8418">#REF!</definedName>
    <definedName name="_MNSJS" localSheetId="1">#REF!</definedName>
    <definedName name="_MNSJS">#REF!</definedName>
    <definedName name="_MOD01">#REF!</definedName>
    <definedName name="_Nov1">#REF!</definedName>
    <definedName name="_Obs1">#REF!</definedName>
    <definedName name="_Obs2">#REF!</definedName>
    <definedName name="_Order1">255</definedName>
    <definedName name="_Order2">255</definedName>
    <definedName name="_Out1" localSheetId="1">#REF!</definedName>
    <definedName name="_Out1">#REF!</definedName>
    <definedName name="_OUT98">#REF!</definedName>
    <definedName name="_OUTTTT9888">#REF!</definedName>
    <definedName name="_P" localSheetId="1">[1]reforma!#REF!</definedName>
    <definedName name="_P">[1]reforma!#REF!</definedName>
    <definedName name="_P_1" localSheetId="1">[1]reforma!#REF!</definedName>
    <definedName name="_P_1">[1]reforma!#REF!</definedName>
    <definedName name="_PAG1" localSheetId="1">#REF!</definedName>
    <definedName name="_PAG1">#REF!</definedName>
    <definedName name="_PAG10">#REF!</definedName>
    <definedName name="_PAG11">#REF!</definedName>
    <definedName name="_PAG12">#REF!</definedName>
    <definedName name="_PAG13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arse_In" localSheetId="1" hidden="1">#REF!</definedName>
    <definedName name="_Parse_In">#REF!</definedName>
    <definedName name="_Parse_Out" localSheetId="1" hidden="1">#REF!</definedName>
    <definedName name="_Parse_Out">#REF!</definedName>
    <definedName name="_PCM30">#REF!</definedName>
    <definedName name="_PL1" localSheetId="1">#REF!</definedName>
    <definedName name="_PL1">#REF!</definedName>
    <definedName name="_PL1_10">#REF!</definedName>
    <definedName name="_PL1_11">#REF!</definedName>
    <definedName name="_PL1_12">#REF!</definedName>
    <definedName name="_PL1_13">#REF!</definedName>
    <definedName name="_PL1_14">#REF!</definedName>
    <definedName name="_PL1_15">#REF!</definedName>
    <definedName name="_PL1_16">#REF!</definedName>
    <definedName name="_PL1_17">#REF!</definedName>
    <definedName name="_PL1_18">#REF!</definedName>
    <definedName name="_PL1_4">#REF!</definedName>
    <definedName name="_PL1_5">#REF!</definedName>
    <definedName name="_PL1_6">#REF!</definedName>
    <definedName name="_PL1_7">#REF!</definedName>
    <definedName name="_PL1_8">#REF!</definedName>
    <definedName name="_PL1_9">#REF!</definedName>
    <definedName name="_PL11">#REF!</definedName>
    <definedName name="_PLA2">#REF!</definedName>
    <definedName name="_PM334">#REF!</definedName>
    <definedName name="_PM335">#REF!</definedName>
    <definedName name="_PM346">#REF!</definedName>
    <definedName name="_PM406">#REF!</definedName>
    <definedName name="_PM412">#REF!</definedName>
    <definedName name="_PM609">#REF!</definedName>
    <definedName name="_PM970">#REF!</definedName>
    <definedName name="_PNV2002">#REF!</definedName>
    <definedName name="_PNV2003">#REF!</definedName>
    <definedName name="_PNV2009">#REF!</definedName>
    <definedName name="_PPOS015Q_AGPQ_" localSheetId="1">#REF!</definedName>
    <definedName name="_PPOS015Q_AGPQ_">#REF!</definedName>
    <definedName name="_PPOS015Q_AGPQ__6" localSheetId="1">#REF!</definedName>
    <definedName name="_PPOS015Q_AGPQ__6">#REF!</definedName>
    <definedName name="_PR1004">#REF!</definedName>
    <definedName name="_PR1015">#REF!</definedName>
    <definedName name="_PR1039">#REF!</definedName>
    <definedName name="_PR1050">#REF!</definedName>
    <definedName name="_PR278">#REF!</definedName>
    <definedName name="_PR279">#REF!</definedName>
    <definedName name="_PR450">#REF!</definedName>
    <definedName name="_PR709">#REF!</definedName>
    <definedName name="_PR710">#REF!</definedName>
    <definedName name="_PR711">#REF!</definedName>
    <definedName name="_PR719">#REF!</definedName>
    <definedName name="_PR720">#REF!</definedName>
    <definedName name="_PR819">#REF!</definedName>
    <definedName name="_PR947">#REF!</definedName>
    <definedName name="_PRE010201" localSheetId="1">#REF!</definedName>
    <definedName name="_PRE010201">#REF!</definedName>
    <definedName name="_PRE010202" localSheetId="1">#REF!</definedName>
    <definedName name="_PRE010202">#REF!</definedName>
    <definedName name="_PRE010205" localSheetId="1">#REF!</definedName>
    <definedName name="_PRE010205">#REF!</definedName>
    <definedName name="_PRE010206" localSheetId="1">#REF!</definedName>
    <definedName name="_PRE010206">#REF!</definedName>
    <definedName name="_PRE010210" localSheetId="1">#REF!</definedName>
    <definedName name="_PRE010210">#REF!</definedName>
    <definedName name="_PRE010301" localSheetId="1">#REF!</definedName>
    <definedName name="_PRE010301">#REF!</definedName>
    <definedName name="_PRE010401" localSheetId="1">#REF!</definedName>
    <definedName name="_PRE010401">#REF!</definedName>
    <definedName name="_PRE010402" localSheetId="1">#REF!</definedName>
    <definedName name="_PRE010402">#REF!</definedName>
    <definedName name="_PRE010407" localSheetId="1">#REF!</definedName>
    <definedName name="_PRE010407">#REF!</definedName>
    <definedName name="_PRE010413" localSheetId="1">#REF!</definedName>
    <definedName name="_PRE010413">#REF!</definedName>
    <definedName name="_PRE010501" localSheetId="1">#REF!</definedName>
    <definedName name="_PRE010501">#REF!</definedName>
    <definedName name="_PRE010503" localSheetId="1">#REF!</definedName>
    <definedName name="_PRE010503">#REF!</definedName>
    <definedName name="_PRE010505" localSheetId="1">#REF!</definedName>
    <definedName name="_PRE010505">#REF!</definedName>
    <definedName name="_PRE010509" localSheetId="1">#REF!</definedName>
    <definedName name="_PRE010509">#REF!</definedName>
    <definedName name="_PRE010512" localSheetId="1">#REF!</definedName>
    <definedName name="_PRE010512">#REF!</definedName>
    <definedName name="_PRE010518" localSheetId="1">#REF!</definedName>
    <definedName name="_PRE010518">#REF!</definedName>
    <definedName name="_PRE010519" localSheetId="1">#REF!</definedName>
    <definedName name="_PRE010519">#REF!</definedName>
    <definedName name="_PRE010521" localSheetId="1">#REF!</definedName>
    <definedName name="_PRE010521">#REF!</definedName>
    <definedName name="_PRE010523" localSheetId="1">#REF!</definedName>
    <definedName name="_PRE010523">#REF!</definedName>
    <definedName name="_PRE010532" localSheetId="1">#REF!</definedName>
    <definedName name="_PRE010532">#REF!</definedName>
    <definedName name="_PRE010533" localSheetId="1">#REF!</definedName>
    <definedName name="_PRE010533">#REF!</definedName>
    <definedName name="_PRE010536" localSheetId="1">#REF!</definedName>
    <definedName name="_PRE010536">#REF!</definedName>
    <definedName name="_PRE010701" localSheetId="1">#REF!</definedName>
    <definedName name="_PRE010701">#REF!</definedName>
    <definedName name="_PRE010703" localSheetId="1">#REF!</definedName>
    <definedName name="_PRE010703">#REF!</definedName>
    <definedName name="_PRE010705" localSheetId="1">#REF!</definedName>
    <definedName name="_PRE010705">#REF!</definedName>
    <definedName name="_PRE010708" localSheetId="1">#REF!</definedName>
    <definedName name="_PRE010708">#REF!</definedName>
    <definedName name="_PRE010710" localSheetId="1">#REF!</definedName>
    <definedName name="_PRE010710">#REF!</definedName>
    <definedName name="_PRE010712" localSheetId="1">#REF!</definedName>
    <definedName name="_PRE010712">#REF!</definedName>
    <definedName name="_PRE010717" localSheetId="1">#REF!</definedName>
    <definedName name="_PRE010717">#REF!</definedName>
    <definedName name="_PRE010718" localSheetId="1">#REF!</definedName>
    <definedName name="_PRE010718">#REF!</definedName>
    <definedName name="_PRE020201" localSheetId="1">#REF!</definedName>
    <definedName name="_PRE020201">#REF!</definedName>
    <definedName name="_PRE020205" localSheetId="1">#REF!</definedName>
    <definedName name="_PRE020205">#REF!</definedName>
    <definedName name="_PRE020211" localSheetId="1">#REF!</definedName>
    <definedName name="_PRE020211">#REF!</definedName>
    <definedName name="_PRE020217" localSheetId="1">#REF!</definedName>
    <definedName name="_PRE020217">#REF!</definedName>
    <definedName name="_PRE030102" localSheetId="1">#REF!</definedName>
    <definedName name="_PRE030102">#REF!</definedName>
    <definedName name="_PRE030201" localSheetId="1">#REF!</definedName>
    <definedName name="_PRE030201">#REF!</definedName>
    <definedName name="_PRE030303" localSheetId="1">#REF!</definedName>
    <definedName name="_PRE030303">#REF!</definedName>
    <definedName name="_PRE030317" localSheetId="1">#REF!</definedName>
    <definedName name="_PRE030317">#REF!</definedName>
    <definedName name="_PRE040101" localSheetId="1">#REF!</definedName>
    <definedName name="_PRE040101">#REF!</definedName>
    <definedName name="_PRE040202" localSheetId="1">#REF!</definedName>
    <definedName name="_PRE040202">#REF!</definedName>
    <definedName name="_PRE050103" localSheetId="1">#REF!</definedName>
    <definedName name="_PRE050103">#REF!</definedName>
    <definedName name="_PRE050207" localSheetId="1">#REF!</definedName>
    <definedName name="_PRE050207">#REF!</definedName>
    <definedName name="_PRE060101" localSheetId="1">#REF!</definedName>
    <definedName name="_PRE060101">#REF!</definedName>
    <definedName name="_PRE080101" localSheetId="1">#REF!</definedName>
    <definedName name="_PRE080101">#REF!</definedName>
    <definedName name="_PRE080310" localSheetId="1">#REF!</definedName>
    <definedName name="_PRE080310">#REF!</definedName>
    <definedName name="_PRE090101" localSheetId="1">#REF!</definedName>
    <definedName name="_PRE090101">#REF!</definedName>
    <definedName name="_PRE100302" localSheetId="1">#REF!</definedName>
    <definedName name="_PRE100302">#REF!</definedName>
    <definedName name="_PRE110101" localSheetId="1">#REF!</definedName>
    <definedName name="_PRE110101">#REF!</definedName>
    <definedName name="_PRE110104" localSheetId="1">#REF!</definedName>
    <definedName name="_PRE110104">#REF!</definedName>
    <definedName name="_PRE110107" localSheetId="1">#REF!</definedName>
    <definedName name="_PRE110107">#REF!</definedName>
    <definedName name="_PRE120101" localSheetId="1">#REF!</definedName>
    <definedName name="_PRE120101">#REF!</definedName>
    <definedName name="_PRE120105" localSheetId="1">#REF!</definedName>
    <definedName name="_PRE120105">#REF!</definedName>
    <definedName name="_PRE120106" localSheetId="1">#REF!</definedName>
    <definedName name="_PRE120106">#REF!</definedName>
    <definedName name="_PRE120107" localSheetId="1">#REF!</definedName>
    <definedName name="_PRE120107">#REF!</definedName>
    <definedName name="_PRE120110" localSheetId="1">#REF!</definedName>
    <definedName name="_PRE120110">#REF!</definedName>
    <definedName name="_PRE120150" localSheetId="1">#REF!</definedName>
    <definedName name="_PRE120150">#REF!</definedName>
    <definedName name="_PRE130101" localSheetId="1">#REF!</definedName>
    <definedName name="_PRE130101">#REF!</definedName>
    <definedName name="_PRE130103" localSheetId="1">#REF!</definedName>
    <definedName name="_PRE130103">#REF!</definedName>
    <definedName name="_PRE130304" localSheetId="1">#REF!</definedName>
    <definedName name="_PRE130304">#REF!</definedName>
    <definedName name="_PRE130401" localSheetId="1">#REF!</definedName>
    <definedName name="_PRE130401">#REF!</definedName>
    <definedName name="_PRE140102" localSheetId="1">#REF!</definedName>
    <definedName name="_PRE140102">#REF!</definedName>
    <definedName name="_PRE140109" localSheetId="1">#REF!</definedName>
    <definedName name="_PRE140109">#REF!</definedName>
    <definedName name="_PRE140113" localSheetId="1">#REF!</definedName>
    <definedName name="_PRE140113">#REF!</definedName>
    <definedName name="_PRE140122" localSheetId="1">#REF!</definedName>
    <definedName name="_PRE140122">#REF!</definedName>
    <definedName name="_PRE140126" localSheetId="1">#REF!</definedName>
    <definedName name="_PRE140126">#REF!</definedName>
    <definedName name="_PRE140129" localSheetId="1">#REF!</definedName>
    <definedName name="_PRE140129">#REF!</definedName>
    <definedName name="_PRE140135" localSheetId="1">#REF!</definedName>
    <definedName name="_PRE140135">#REF!</definedName>
    <definedName name="_PRE140143" localSheetId="1">#REF!</definedName>
    <definedName name="_PRE140143">#REF!</definedName>
    <definedName name="_PRE140145" localSheetId="1">#REF!</definedName>
    <definedName name="_PRE140145">#REF!</definedName>
    <definedName name="_PRE150130" localSheetId="1">#REF!</definedName>
    <definedName name="_PRE150130">#REF!</definedName>
    <definedName name="_PRE170101" localSheetId="1">#REF!</definedName>
    <definedName name="_PRE170101">#REF!</definedName>
    <definedName name="_PRE170102" localSheetId="1">#REF!</definedName>
    <definedName name="_PRE170102">#REF!</definedName>
    <definedName name="_PRE170103" localSheetId="1">#REF!</definedName>
    <definedName name="_PRE170103">#REF!</definedName>
    <definedName name="_PTB10">#REF!</definedName>
    <definedName name="_QUA010201" localSheetId="1">#REF!</definedName>
    <definedName name="_QUA010201">#REF!</definedName>
    <definedName name="_QUA010202" localSheetId="1">#REF!</definedName>
    <definedName name="_QUA010202">#REF!</definedName>
    <definedName name="_QUA010205" localSheetId="1">#REF!</definedName>
    <definedName name="_QUA010205">#REF!</definedName>
    <definedName name="_QUA010206" localSheetId="1">#REF!</definedName>
    <definedName name="_QUA010206">#REF!</definedName>
    <definedName name="_QUA010210" localSheetId="1">#REF!</definedName>
    <definedName name="_QUA010210">#REF!</definedName>
    <definedName name="_QUA010301" localSheetId="1">#REF!</definedName>
    <definedName name="_QUA010301">#REF!</definedName>
    <definedName name="_QUA010401" localSheetId="1">#REF!</definedName>
    <definedName name="_QUA010401">#REF!</definedName>
    <definedName name="_QUA010402" localSheetId="1">#REF!</definedName>
    <definedName name="_QUA010402">#REF!</definedName>
    <definedName name="_QUA010407" localSheetId="1">#REF!</definedName>
    <definedName name="_QUA010407">#REF!</definedName>
    <definedName name="_QUA010413" localSheetId="1">#REF!</definedName>
    <definedName name="_QUA010413">#REF!</definedName>
    <definedName name="_QUA010501" localSheetId="1">#REF!</definedName>
    <definedName name="_QUA010501">#REF!</definedName>
    <definedName name="_QUA010503" localSheetId="1">#REF!</definedName>
    <definedName name="_QUA010503">#REF!</definedName>
    <definedName name="_QUA010505" localSheetId="1">#REF!</definedName>
    <definedName name="_QUA010505">#REF!</definedName>
    <definedName name="_QUA010509" localSheetId="1">#REF!</definedName>
    <definedName name="_QUA010509">#REF!</definedName>
    <definedName name="_QUA010512" localSheetId="1">#REF!</definedName>
    <definedName name="_QUA010512">#REF!</definedName>
    <definedName name="_QUA010518" localSheetId="1">#REF!</definedName>
    <definedName name="_QUA010518">#REF!</definedName>
    <definedName name="_QUA010519" localSheetId="1">#REF!</definedName>
    <definedName name="_QUA010519">#REF!</definedName>
    <definedName name="_QUA010521" localSheetId="1">#REF!</definedName>
    <definedName name="_QUA010521">#REF!</definedName>
    <definedName name="_QUA010523" localSheetId="1">#REF!</definedName>
    <definedName name="_QUA010523">#REF!</definedName>
    <definedName name="_QUA010532" localSheetId="1">#REF!</definedName>
    <definedName name="_QUA010532">#REF!</definedName>
    <definedName name="_QUA010533" localSheetId="1">#REF!</definedName>
    <definedName name="_QUA010533">#REF!</definedName>
    <definedName name="_QUA010536" localSheetId="1">#REF!</definedName>
    <definedName name="_QUA010536">#REF!</definedName>
    <definedName name="_QUA010701" localSheetId="1">#REF!</definedName>
    <definedName name="_QUA010701">#REF!</definedName>
    <definedName name="_QUA010703" localSheetId="1">#REF!</definedName>
    <definedName name="_QUA010703">#REF!</definedName>
    <definedName name="_QUA010705" localSheetId="1">#REF!</definedName>
    <definedName name="_QUA010705">#REF!</definedName>
    <definedName name="_QUA010708" localSheetId="1">#REF!</definedName>
    <definedName name="_QUA010708">#REF!</definedName>
    <definedName name="_QUA010710" localSheetId="1">#REF!</definedName>
    <definedName name="_QUA010710">#REF!</definedName>
    <definedName name="_QUA010712" localSheetId="1">#REF!</definedName>
    <definedName name="_QUA010712">#REF!</definedName>
    <definedName name="_QUA010717" localSheetId="1">#REF!</definedName>
    <definedName name="_QUA010717">#REF!</definedName>
    <definedName name="_QUA010718" localSheetId="1">#REF!</definedName>
    <definedName name="_QUA010718">#REF!</definedName>
    <definedName name="_QUA020201" localSheetId="1">#REF!</definedName>
    <definedName name="_QUA020201">#REF!</definedName>
    <definedName name="_QUA020205" localSheetId="1">#REF!</definedName>
    <definedName name="_QUA020205">#REF!</definedName>
    <definedName name="_QUA020211" localSheetId="1">#REF!</definedName>
    <definedName name="_QUA020211">#REF!</definedName>
    <definedName name="_QUA020217" localSheetId="1">#REF!</definedName>
    <definedName name="_QUA020217">#REF!</definedName>
    <definedName name="_QUA030102" localSheetId="1">#REF!</definedName>
    <definedName name="_QUA030102">#REF!</definedName>
    <definedName name="_QUA030201" localSheetId="1">#REF!</definedName>
    <definedName name="_QUA030201">#REF!</definedName>
    <definedName name="_QUA030303" localSheetId="1">#REF!</definedName>
    <definedName name="_QUA030303">#REF!</definedName>
    <definedName name="_QUA030317" localSheetId="1">#REF!</definedName>
    <definedName name="_QUA030317">#REF!</definedName>
    <definedName name="_QUA040101" localSheetId="1">#REF!</definedName>
    <definedName name="_QUA040101">#REF!</definedName>
    <definedName name="_QUA040202" localSheetId="1">#REF!</definedName>
    <definedName name="_QUA040202">#REF!</definedName>
    <definedName name="_QUA050103" localSheetId="1">#REF!</definedName>
    <definedName name="_QUA050103">#REF!</definedName>
    <definedName name="_QUA050207" localSheetId="1">#REF!</definedName>
    <definedName name="_QUA050207">#REF!</definedName>
    <definedName name="_QUA060101" localSheetId="1">#REF!</definedName>
    <definedName name="_QUA060101">#REF!</definedName>
    <definedName name="_QUA080101" localSheetId="1">#REF!</definedName>
    <definedName name="_QUA080101">#REF!</definedName>
    <definedName name="_QUA080310" localSheetId="1">#REF!</definedName>
    <definedName name="_QUA080310">#REF!</definedName>
    <definedName name="_QUA090101" localSheetId="1">#REF!</definedName>
    <definedName name="_QUA090101">#REF!</definedName>
    <definedName name="_QUA100302" localSheetId="1">#REF!</definedName>
    <definedName name="_QUA100302">#REF!</definedName>
    <definedName name="_QUA110101" localSheetId="1">#REF!</definedName>
    <definedName name="_QUA110101">#REF!</definedName>
    <definedName name="_QUA110104" localSheetId="1">#REF!</definedName>
    <definedName name="_QUA110104">#REF!</definedName>
    <definedName name="_QUA110107" localSheetId="1">#REF!</definedName>
    <definedName name="_QUA110107">#REF!</definedName>
    <definedName name="_QUA120101" localSheetId="1">#REF!</definedName>
    <definedName name="_QUA120101">#REF!</definedName>
    <definedName name="_QUA120105" localSheetId="1">#REF!</definedName>
    <definedName name="_QUA120105">#REF!</definedName>
    <definedName name="_QUA120106" localSheetId="1">#REF!</definedName>
    <definedName name="_QUA120106">#REF!</definedName>
    <definedName name="_QUA120107" localSheetId="1">#REF!</definedName>
    <definedName name="_QUA120107">#REF!</definedName>
    <definedName name="_QUA120110" localSheetId="1">#REF!</definedName>
    <definedName name="_QUA120110">#REF!</definedName>
    <definedName name="_QUA120150" localSheetId="1">#REF!</definedName>
    <definedName name="_QUA120150">#REF!</definedName>
    <definedName name="_QUA130101" localSheetId="1">#REF!</definedName>
    <definedName name="_QUA130101">#REF!</definedName>
    <definedName name="_QUA130103" localSheetId="1">#REF!</definedName>
    <definedName name="_QUA130103">#REF!</definedName>
    <definedName name="_QUA130304" localSheetId="1">#REF!</definedName>
    <definedName name="_QUA130304">#REF!</definedName>
    <definedName name="_QUA130401" localSheetId="1">#REF!</definedName>
    <definedName name="_QUA130401">#REF!</definedName>
    <definedName name="_QUA140102" localSheetId="1">#REF!</definedName>
    <definedName name="_QUA140102">#REF!</definedName>
    <definedName name="_QUA140109" localSheetId="1">#REF!</definedName>
    <definedName name="_QUA140109">#REF!</definedName>
    <definedName name="_QUA140113" localSheetId="1">#REF!</definedName>
    <definedName name="_QUA140113">#REF!</definedName>
    <definedName name="_QUA140122" localSheetId="1">#REF!</definedName>
    <definedName name="_QUA140122">#REF!</definedName>
    <definedName name="_QUA140126" localSheetId="1">#REF!</definedName>
    <definedName name="_QUA140126">#REF!</definedName>
    <definedName name="_QUA140129" localSheetId="1">#REF!</definedName>
    <definedName name="_QUA140129">#REF!</definedName>
    <definedName name="_QUA140135" localSheetId="1">#REF!</definedName>
    <definedName name="_QUA140135">#REF!</definedName>
    <definedName name="_QUA140143" localSheetId="1">#REF!</definedName>
    <definedName name="_QUA140143">#REF!</definedName>
    <definedName name="_QUA140145" localSheetId="1">#REF!</definedName>
    <definedName name="_QUA140145">#REF!</definedName>
    <definedName name="_QUA150130" localSheetId="1">#REF!</definedName>
    <definedName name="_QUA150130">#REF!</definedName>
    <definedName name="_QUA170101" localSheetId="1">#REF!</definedName>
    <definedName name="_QUA170101">#REF!</definedName>
    <definedName name="_QUA170102" localSheetId="1">#REF!</definedName>
    <definedName name="_QUA170102">#REF!</definedName>
    <definedName name="_QUA170103" localSheetId="1">#REF!</definedName>
    <definedName name="_QUA170103">#REF!</definedName>
    <definedName name="_R" localSheetId="1">#REF!</definedName>
    <definedName name="_R">#REF!</definedName>
    <definedName name="_R_1" localSheetId="1">[1]reforma!#REF!</definedName>
    <definedName name="_R_1">[1]reforma!#REF!</definedName>
    <definedName name="_Rbv1" localSheetId="1">#REF!</definedName>
    <definedName name="_Rbv1">#REF!</definedName>
    <definedName name="_REA1.N10_" localSheetId="1">[1]reforma!#REF!</definedName>
    <definedName name="_REA1.N10_">[1]reforma!#REF!</definedName>
    <definedName name="_REC11100" localSheetId="1">#REF!</definedName>
    <definedName name="_REC11100">#REF!</definedName>
    <definedName name="_REC11110" localSheetId="1">#REF!</definedName>
    <definedName name="_REC11110">#REF!</definedName>
    <definedName name="_REC11115" localSheetId="1">#REF!</definedName>
    <definedName name="_REC11115">#REF!</definedName>
    <definedName name="_REC11125" localSheetId="1">#REF!</definedName>
    <definedName name="_REC11125">#REF!</definedName>
    <definedName name="_REC11130" localSheetId="1">#REF!</definedName>
    <definedName name="_REC11130">#REF!</definedName>
    <definedName name="_REC11135" localSheetId="1">#REF!</definedName>
    <definedName name="_REC11135">#REF!</definedName>
    <definedName name="_REC11145" localSheetId="1">#REF!</definedName>
    <definedName name="_REC11145">#REF!</definedName>
    <definedName name="_REC11150" localSheetId="1">#REF!</definedName>
    <definedName name="_REC11150">#REF!</definedName>
    <definedName name="_REC11165" localSheetId="1">#REF!</definedName>
    <definedName name="_REC11165">#REF!</definedName>
    <definedName name="_REC11170" localSheetId="1">#REF!</definedName>
    <definedName name="_REC11170">#REF!</definedName>
    <definedName name="_REC11180" localSheetId="1">#REF!</definedName>
    <definedName name="_REC11180">#REF!</definedName>
    <definedName name="_REC11185" localSheetId="1">#REF!</definedName>
    <definedName name="_REC11185">#REF!</definedName>
    <definedName name="_REC11220" localSheetId="1">#REF!</definedName>
    <definedName name="_REC11220">#REF!</definedName>
    <definedName name="_REC12105" localSheetId="1">#REF!</definedName>
    <definedName name="_REC12105">#REF!</definedName>
    <definedName name="_REC12555" localSheetId="1">#REF!</definedName>
    <definedName name="_REC12555">#REF!</definedName>
    <definedName name="_REC12570" localSheetId="1">#REF!</definedName>
    <definedName name="_REC12570">#REF!</definedName>
    <definedName name="_REC12575" localSheetId="1">#REF!</definedName>
    <definedName name="_REC12575">#REF!</definedName>
    <definedName name="_REC12580" localSheetId="1">#REF!</definedName>
    <definedName name="_REC12580">#REF!</definedName>
    <definedName name="_REC12600" localSheetId="1">#REF!</definedName>
    <definedName name="_REC12600">#REF!</definedName>
    <definedName name="_REC12610" localSheetId="1">#REF!</definedName>
    <definedName name="_REC12610">#REF!</definedName>
    <definedName name="_REC12630" localSheetId="1">#REF!</definedName>
    <definedName name="_REC12630">#REF!</definedName>
    <definedName name="_REC12631" localSheetId="1">#REF!</definedName>
    <definedName name="_REC12631">#REF!</definedName>
    <definedName name="_REC12640" localSheetId="1">#REF!</definedName>
    <definedName name="_REC12640">#REF!</definedName>
    <definedName name="_REC12645" localSheetId="1">#REF!</definedName>
    <definedName name="_REC12645">#REF!</definedName>
    <definedName name="_REC12665" localSheetId="1">#REF!</definedName>
    <definedName name="_REC12665">#REF!</definedName>
    <definedName name="_REC12690" localSheetId="1">#REF!</definedName>
    <definedName name="_REC12690">#REF!</definedName>
    <definedName name="_REC12700" localSheetId="1">#REF!</definedName>
    <definedName name="_REC12700">#REF!</definedName>
    <definedName name="_REC12710" localSheetId="1">#REF!</definedName>
    <definedName name="_REC12710">#REF!</definedName>
    <definedName name="_REC13111" localSheetId="1">#REF!</definedName>
    <definedName name="_REC13111">#REF!</definedName>
    <definedName name="_REC13112" localSheetId="1">#REF!</definedName>
    <definedName name="_REC13112">#REF!</definedName>
    <definedName name="_REC13121" localSheetId="1">#REF!</definedName>
    <definedName name="_REC13121">#REF!</definedName>
    <definedName name="_REC13720" localSheetId="1">#REF!</definedName>
    <definedName name="_REC13720">#REF!</definedName>
    <definedName name="_REC14100" localSheetId="1">#REF!</definedName>
    <definedName name="_REC14100">#REF!</definedName>
    <definedName name="_REC14161" localSheetId="1">#REF!</definedName>
    <definedName name="_REC14161">#REF!</definedName>
    <definedName name="_REC14195" localSheetId="1">#REF!</definedName>
    <definedName name="_REC14195">#REF!</definedName>
    <definedName name="_REC14205" localSheetId="1">#REF!</definedName>
    <definedName name="_REC14205">#REF!</definedName>
    <definedName name="_REC14260" localSheetId="1">#REF!</definedName>
    <definedName name="_REC14260">#REF!</definedName>
    <definedName name="_REC14500" localSheetId="1">#REF!</definedName>
    <definedName name="_REC14500">#REF!</definedName>
    <definedName name="_REC14515" localSheetId="1">#REF!</definedName>
    <definedName name="_REC14515">#REF!</definedName>
    <definedName name="_REC14555" localSheetId="1">#REF!</definedName>
    <definedName name="_REC14555">#REF!</definedName>
    <definedName name="_REC14565" localSheetId="1">#REF!</definedName>
    <definedName name="_REC14565">#REF!</definedName>
    <definedName name="_REC15135" localSheetId="1">#REF!</definedName>
    <definedName name="_REC15135">#REF!</definedName>
    <definedName name="_REC15140" localSheetId="1">#REF!</definedName>
    <definedName name="_REC15140">#REF!</definedName>
    <definedName name="_REC15195" localSheetId="1">#REF!</definedName>
    <definedName name="_REC15195">#REF!</definedName>
    <definedName name="_REC15225" localSheetId="1">#REF!</definedName>
    <definedName name="_REC15225">#REF!</definedName>
    <definedName name="_REC15230" localSheetId="1">#REF!</definedName>
    <definedName name="_REC15230">#REF!</definedName>
    <definedName name="_REC15515" localSheetId="1">#REF!</definedName>
    <definedName name="_REC15515">#REF!</definedName>
    <definedName name="_REC15560" localSheetId="1">#REF!</definedName>
    <definedName name="_REC15560">#REF!</definedName>
    <definedName name="_REC15565" localSheetId="1">#REF!</definedName>
    <definedName name="_REC15565">#REF!</definedName>
    <definedName name="_REC15570" localSheetId="1">#REF!</definedName>
    <definedName name="_REC15570">#REF!</definedName>
    <definedName name="_REC15575" localSheetId="1">#REF!</definedName>
    <definedName name="_REC15575">#REF!</definedName>
    <definedName name="_REC15583" localSheetId="1">#REF!</definedName>
    <definedName name="_REC15583">#REF!</definedName>
    <definedName name="_REC15590" localSheetId="1">#REF!</definedName>
    <definedName name="_REC15590">#REF!</definedName>
    <definedName name="_REC15591" localSheetId="1">#REF!</definedName>
    <definedName name="_REC15591">#REF!</definedName>
    <definedName name="_REC15610" localSheetId="1">#REF!</definedName>
    <definedName name="_REC15610">#REF!</definedName>
    <definedName name="_REC15625" localSheetId="1">#REF!</definedName>
    <definedName name="_REC15625">#REF!</definedName>
    <definedName name="_REC15635" localSheetId="1">#REF!</definedName>
    <definedName name="_REC15635">#REF!</definedName>
    <definedName name="_REC15655" localSheetId="1">#REF!</definedName>
    <definedName name="_REC15655">#REF!</definedName>
    <definedName name="_REC15665" localSheetId="1">#REF!</definedName>
    <definedName name="_REC15665">#REF!</definedName>
    <definedName name="_REC16515" localSheetId="1">#REF!</definedName>
    <definedName name="_REC16515">#REF!</definedName>
    <definedName name="_REC16535" localSheetId="1">#REF!</definedName>
    <definedName name="_REC16535">#REF!</definedName>
    <definedName name="_REC17140" localSheetId="1">#REF!</definedName>
    <definedName name="_REC17140">#REF!</definedName>
    <definedName name="_REC19500" localSheetId="1">#REF!</definedName>
    <definedName name="_REC19500">#REF!</definedName>
    <definedName name="_REC19501" localSheetId="1">#REF!</definedName>
    <definedName name="_REC19501">#REF!</definedName>
    <definedName name="_REC19502" localSheetId="1">#REF!</definedName>
    <definedName name="_REC19502">#REF!</definedName>
    <definedName name="_REC19503" localSheetId="1">#REF!</definedName>
    <definedName name="_REC19503">#REF!</definedName>
    <definedName name="_REC19504" localSheetId="1">#REF!</definedName>
    <definedName name="_REC19504">#REF!</definedName>
    <definedName name="_REC19505" localSheetId="1">#REF!</definedName>
    <definedName name="_REC19505">#REF!</definedName>
    <definedName name="_REC20100" localSheetId="1">#REF!</definedName>
    <definedName name="_REC20100">#REF!</definedName>
    <definedName name="_REC20105" localSheetId="1">#REF!</definedName>
    <definedName name="_REC20105">#REF!</definedName>
    <definedName name="_REC20110" localSheetId="1">#REF!</definedName>
    <definedName name="_REC20110">#REF!</definedName>
    <definedName name="_REC20115" localSheetId="1">#REF!</definedName>
    <definedName name="_REC20115">#REF!</definedName>
    <definedName name="_REC20130" localSheetId="1">#REF!</definedName>
    <definedName name="_REC20130">#REF!</definedName>
    <definedName name="_REC20135" localSheetId="1">#REF!</definedName>
    <definedName name="_REC20135">#REF!</definedName>
    <definedName name="_REC20140" localSheetId="1">#REF!</definedName>
    <definedName name="_REC20140">#REF!</definedName>
    <definedName name="_REC20145" localSheetId="1">#REF!</definedName>
    <definedName name="_REC20145">#REF!</definedName>
    <definedName name="_REC20150" localSheetId="1">#REF!</definedName>
    <definedName name="_REC20150">#REF!</definedName>
    <definedName name="_REC20155" localSheetId="1">#REF!</definedName>
    <definedName name="_REC20155">#REF!</definedName>
    <definedName name="_REC20175" localSheetId="1">#REF!</definedName>
    <definedName name="_REC20175">#REF!</definedName>
    <definedName name="_REC20185" localSheetId="1">#REF!</definedName>
    <definedName name="_REC20185">#REF!</definedName>
    <definedName name="_REC20190" localSheetId="1">#REF!</definedName>
    <definedName name="_REC20190">#REF!</definedName>
    <definedName name="_REC20195" localSheetId="1">#REF!</definedName>
    <definedName name="_REC20195">#REF!</definedName>
    <definedName name="_REC20210" localSheetId="1">#REF!</definedName>
    <definedName name="_REC20210">#REF!</definedName>
    <definedName name="_Regression_Int">1</definedName>
    <definedName name="_RET1">[7]Regula!$J$36</definedName>
    <definedName name="_RP1" localSheetId="1">#REF!</definedName>
    <definedName name="_RP1">#REF!</definedName>
    <definedName name="_S">#REF!</definedName>
    <definedName name="_S_1">#REF!</definedName>
    <definedName name="_S_1_1">#REF!</definedName>
    <definedName name="_S_1_1_1">#REF!</definedName>
    <definedName name="_sds2" localSheetId="1">#REF!</definedName>
    <definedName name="_sds2">#REF!</definedName>
    <definedName name="_sds3">'[8]SIIG 30'!$A$6:$E$4734</definedName>
    <definedName name="_sds5" localSheetId="1">#REF!</definedName>
    <definedName name="_sds5">#REF!</definedName>
    <definedName name="_sds6" localSheetId="1">#REF!</definedName>
    <definedName name="_sds6">#REF!</definedName>
    <definedName name="_sds7" localSheetId="1">#REF!,#REF!,#REF!</definedName>
    <definedName name="_sds7">#REF!,#REF!,#REF!</definedName>
    <definedName name="_Set1" localSheetId="1">#REF!</definedName>
    <definedName name="_Set1">#REF!</definedName>
    <definedName name="_sob1" localSheetId="1">#REF!</definedName>
    <definedName name="_sob1">#REF!</definedName>
    <definedName name="_SOB2" localSheetId="1">#REF!</definedName>
    <definedName name="_SOB2">#REF!</definedName>
    <definedName name="_Sort" localSheetId="1" hidden="1">#REF!</definedName>
    <definedName name="_Sort">#REF!</definedName>
    <definedName name="_sub1" localSheetId="1">#REF!</definedName>
    <definedName name="_sub1">#REF!</definedName>
    <definedName name="_sub12" localSheetId="1">#REF!</definedName>
    <definedName name="_sub12">#REF!</definedName>
    <definedName name="_sub2" localSheetId="1">#REF!</definedName>
    <definedName name="_sub2">#REF!</definedName>
    <definedName name="_sub3" localSheetId="1">#REF!</definedName>
    <definedName name="_sub3">#REF!</definedName>
    <definedName name="_sub4" localSheetId="1">#REF!</definedName>
    <definedName name="_sub4">#REF!</definedName>
    <definedName name="_SUB5" localSheetId="1">#REF!</definedName>
    <definedName name="_SUB5">#REF!</definedName>
    <definedName name="_subb2" localSheetId="1">#REF!</definedName>
    <definedName name="_subb2">#REF!</definedName>
    <definedName name="_subb4" localSheetId="1">#REF!</definedName>
    <definedName name="_subb4">#REF!</definedName>
    <definedName name="_subb9" localSheetId="1">#REF!</definedName>
    <definedName name="_subb9">#REF!</definedName>
    <definedName name="_SUU" localSheetId="1">#REF!</definedName>
    <definedName name="_SUU">#REF!</definedName>
    <definedName name="_SUUU" localSheetId="1">#REF!</definedName>
    <definedName name="_SUUU">#REF!</definedName>
    <definedName name="_svi2" localSheetId="1">#REF!</definedName>
    <definedName name="_svi2">#REF!</definedName>
    <definedName name="_TB10">#REF!</definedName>
    <definedName name="_tb97">#REF!</definedName>
    <definedName name="_tbw97">#REF!</definedName>
    <definedName name="_TCB4">#REF!</definedName>
    <definedName name="_TCB5">#REF!</definedName>
    <definedName name="_TEB4">#REF!</definedName>
    <definedName name="_tot1" localSheetId="1">#REF!</definedName>
    <definedName name="_tot1">#REF!</definedName>
    <definedName name="_tot2" localSheetId="1">#REF!</definedName>
    <definedName name="_tot2">#REF!</definedName>
    <definedName name="_tot3" localSheetId="1">#REF!</definedName>
    <definedName name="_tot3">#REF!</definedName>
    <definedName name="_tot4" localSheetId="1">#REF!</definedName>
    <definedName name="_tot4">#REF!</definedName>
    <definedName name="_tot5" localSheetId="1">#REF!</definedName>
    <definedName name="_tot5">#REF!</definedName>
    <definedName name="_tot6" localSheetId="1">#REF!</definedName>
    <definedName name="_tot6">#REF!</definedName>
    <definedName name="_tot7" localSheetId="1">#REF!</definedName>
    <definedName name="_tot7">#REF!</definedName>
    <definedName name="_tot8" localSheetId="1">#REF!</definedName>
    <definedName name="_tot8">#REF!</definedName>
    <definedName name="_TSD2">#REF!</definedName>
    <definedName name="_TT102" localSheetId="1">'[9]relatório-1ª med.'!#REF!</definedName>
    <definedName name="_TT102">'[9]relatório-1ª med.'!#REF!</definedName>
    <definedName name="_TT107" localSheetId="1">'[9]relatório-1ª med.'!#REF!</definedName>
    <definedName name="_TT107">'[9]relatório-1ª med.'!#REF!</definedName>
    <definedName name="_TT121" localSheetId="1">'[9]relatório-1ª med.'!#REF!</definedName>
    <definedName name="_TT121">'[9]relatório-1ª med.'!#REF!</definedName>
    <definedName name="_TT123" localSheetId="1">'[9]relatório-1ª med.'!#REF!</definedName>
    <definedName name="_TT123">'[9]relatório-1ª med.'!#REF!</definedName>
    <definedName name="_TT19" localSheetId="1">'[9]relatório-1ª med.'!#REF!</definedName>
    <definedName name="_TT19">'[9]relatório-1ª med.'!#REF!</definedName>
    <definedName name="_TT20" localSheetId="1">'[9]relatório-1ª med.'!#REF!</definedName>
    <definedName name="_TT20">'[9]relatório-1ª med.'!#REF!</definedName>
    <definedName name="_TT21" localSheetId="1">'[9]relatório-1ª med.'!#REF!</definedName>
    <definedName name="_TT21">'[9]relatório-1ª med.'!#REF!</definedName>
    <definedName name="_TT22" localSheetId="1">'[9]relatório-1ª med.'!#REF!</definedName>
    <definedName name="_TT22">'[9]relatório-1ª med.'!#REF!</definedName>
    <definedName name="_TT26" localSheetId="1">'[9]relatório-1ª med.'!#REF!</definedName>
    <definedName name="_TT26">'[9]relatório-1ª med.'!#REF!</definedName>
    <definedName name="_TT27" localSheetId="1">'[9]relatório-1ª med.'!#REF!</definedName>
    <definedName name="_TT27">'[9]relatório-1ª med.'!#REF!</definedName>
    <definedName name="_TT28" localSheetId="1">'[9]relatório-1ª med.'!#REF!</definedName>
    <definedName name="_TT28">'[9]relatório-1ª med.'!#REF!</definedName>
    <definedName name="_TT30" localSheetId="1">'[9]relatório-1ª med.'!#REF!</definedName>
    <definedName name="_TT30">'[9]relatório-1ª med.'!#REF!</definedName>
    <definedName name="_TT31" localSheetId="1">'[9]relatório-1ª med.'!#REF!</definedName>
    <definedName name="_TT31">'[9]relatório-1ª med.'!#REF!</definedName>
    <definedName name="_TT32" localSheetId="1">'[9]relatório-1ª med.'!#REF!</definedName>
    <definedName name="_TT32">'[9]relatório-1ª med.'!#REF!</definedName>
    <definedName name="_TT33" localSheetId="1">'[9]relatório-1ª med.'!#REF!</definedName>
    <definedName name="_TT33">'[9]relatório-1ª med.'!#REF!</definedName>
    <definedName name="_TT34" localSheetId="1">'[9]relatório-1ª med.'!#REF!</definedName>
    <definedName name="_TT34">'[9]relatório-1ª med.'!#REF!</definedName>
    <definedName name="_TT36" localSheetId="1">'[9]relatório-1ª med.'!#REF!</definedName>
    <definedName name="_TT36">'[9]relatório-1ª med.'!#REF!</definedName>
    <definedName name="_TT37" localSheetId="1">'[9]relatório-1ª med.'!#REF!</definedName>
    <definedName name="_TT37">'[9]relatório-1ª med.'!#REF!</definedName>
    <definedName name="_TT38" localSheetId="1">'[9]relatório-1ª med.'!#REF!</definedName>
    <definedName name="_TT38">'[9]relatório-1ª med.'!#REF!</definedName>
    <definedName name="_TT39" localSheetId="1">'[9]relatório-1ª med.'!#REF!</definedName>
    <definedName name="_TT39">'[9]relatório-1ª med.'!#REF!</definedName>
    <definedName name="_TT40" localSheetId="1">'[9]relatório-1ª med.'!#REF!</definedName>
    <definedName name="_TT40">'[9]relatório-1ª med.'!#REF!</definedName>
    <definedName name="_TT5" localSheetId="1">'[9]relatório-1ª med.'!#REF!</definedName>
    <definedName name="_TT5">'[9]relatório-1ª med.'!#REF!</definedName>
    <definedName name="_TT52" localSheetId="1">'[9]relatório-1ª med.'!#REF!</definedName>
    <definedName name="_TT52">'[9]relatório-1ª med.'!#REF!</definedName>
    <definedName name="_TT53" localSheetId="1">'[9]relatório-1ª med.'!#REF!</definedName>
    <definedName name="_TT53">'[9]relatório-1ª med.'!#REF!</definedName>
    <definedName name="_TT54" localSheetId="1">'[9]relatório-1ª med.'!#REF!</definedName>
    <definedName name="_TT54">'[9]relatório-1ª med.'!#REF!</definedName>
    <definedName name="_TT55" localSheetId="1">'[9]relatório-1ª med.'!#REF!</definedName>
    <definedName name="_TT55">'[9]relatório-1ª med.'!#REF!</definedName>
    <definedName name="_TT6" localSheetId="1">'[9]relatório-1ª med.'!#REF!</definedName>
    <definedName name="_TT6">'[9]relatório-1ª med.'!#REF!</definedName>
    <definedName name="_TT60" localSheetId="1">'[9]relatório-1ª med.'!#REF!</definedName>
    <definedName name="_TT60">'[9]relatório-1ª med.'!#REF!</definedName>
    <definedName name="_TT61" localSheetId="1">'[9]relatório-1ª med.'!#REF!</definedName>
    <definedName name="_TT61">'[9]relatório-1ª med.'!#REF!</definedName>
    <definedName name="_TT69" localSheetId="1">'[9]relatório-1ª med.'!#REF!</definedName>
    <definedName name="_TT69">'[9]relatório-1ª med.'!#REF!</definedName>
    <definedName name="_TT7" localSheetId="1">'[9]relatório-1ª med.'!#REF!</definedName>
    <definedName name="_TT7">'[9]relatório-1ª med.'!#REF!</definedName>
    <definedName name="_TT70" localSheetId="1">'[9]relatório-1ª med.'!#REF!</definedName>
    <definedName name="_TT70">'[9]relatório-1ª med.'!#REF!</definedName>
    <definedName name="_TT71" localSheetId="1">'[9]relatório-1ª med.'!#REF!</definedName>
    <definedName name="_TT71">'[9]relatório-1ª med.'!#REF!</definedName>
    <definedName name="_TT74" localSheetId="1">'[9]relatório-1ª med.'!#REF!</definedName>
    <definedName name="_TT74">'[9]relatório-1ª med.'!#REF!</definedName>
    <definedName name="_TT75" localSheetId="1">'[9]relatório-1ª med.'!#REF!</definedName>
    <definedName name="_TT75">'[9]relatório-1ª med.'!#REF!</definedName>
    <definedName name="_TT76" localSheetId="1">'[9]relatório-1ª med.'!#REF!</definedName>
    <definedName name="_TT76">'[9]relatório-1ª med.'!#REF!</definedName>
    <definedName name="_TT77" localSheetId="1">'[9]relatório-1ª med.'!#REF!</definedName>
    <definedName name="_TT77">'[9]relatório-1ª med.'!#REF!</definedName>
    <definedName name="_TT78" localSheetId="1">'[9]relatório-1ª med.'!#REF!</definedName>
    <definedName name="_TT78">'[9]relatório-1ª med.'!#REF!</definedName>
    <definedName name="_TT79" localSheetId="1">'[9]relatório-1ª med.'!#REF!</definedName>
    <definedName name="_TT79">'[9]relatório-1ª med.'!#REF!</definedName>
    <definedName name="_TT94" localSheetId="1">'[9]relatório-1ª med.'!#REF!</definedName>
    <definedName name="_TT94">'[9]relatório-1ª med.'!#REF!</definedName>
    <definedName name="_TT95" localSheetId="1">'[9]relatório-1ª med.'!#REF!</definedName>
    <definedName name="_TT95">'[9]relatório-1ª med.'!#REF!</definedName>
    <definedName name="_TT97" localSheetId="1">'[9]relatório-1ª med.'!#REF!</definedName>
    <definedName name="_TT97">'[9]relatório-1ª med.'!#REF!</definedName>
    <definedName name="_UNI11100" localSheetId="1">#REF!</definedName>
    <definedName name="_UNI11100">#REF!</definedName>
    <definedName name="_UNI11110" localSheetId="1">#REF!</definedName>
    <definedName name="_UNI11110">#REF!</definedName>
    <definedName name="_UNI11115" localSheetId="1">#REF!</definedName>
    <definedName name="_UNI11115">#REF!</definedName>
    <definedName name="_UNI11125" localSheetId="1">#REF!</definedName>
    <definedName name="_UNI11125">#REF!</definedName>
    <definedName name="_UNI11130" localSheetId="1">#REF!</definedName>
    <definedName name="_UNI11130">#REF!</definedName>
    <definedName name="_UNI11135" localSheetId="1">#REF!</definedName>
    <definedName name="_UNI11135">#REF!</definedName>
    <definedName name="_UNI11145" localSheetId="1">#REF!</definedName>
    <definedName name="_UNI11145">#REF!</definedName>
    <definedName name="_UNI11150" localSheetId="1">#REF!</definedName>
    <definedName name="_UNI11150">#REF!</definedName>
    <definedName name="_UNI11165" localSheetId="1">#REF!</definedName>
    <definedName name="_UNI11165">#REF!</definedName>
    <definedName name="_UNI11170" localSheetId="1">#REF!</definedName>
    <definedName name="_UNI11170">#REF!</definedName>
    <definedName name="_UNI11180" localSheetId="1">#REF!</definedName>
    <definedName name="_UNI11180">#REF!</definedName>
    <definedName name="_UNI11185" localSheetId="1">#REF!</definedName>
    <definedName name="_UNI11185">#REF!</definedName>
    <definedName name="_UNI11220" localSheetId="1">#REF!</definedName>
    <definedName name="_UNI11220">#REF!</definedName>
    <definedName name="_UNI12105" localSheetId="1">#REF!</definedName>
    <definedName name="_UNI12105">#REF!</definedName>
    <definedName name="_UNI12555" localSheetId="1">#REF!</definedName>
    <definedName name="_UNI12555">#REF!</definedName>
    <definedName name="_UNI12570" localSheetId="1">#REF!</definedName>
    <definedName name="_UNI12570">#REF!</definedName>
    <definedName name="_UNI12575" localSheetId="1">#REF!</definedName>
    <definedName name="_UNI12575">#REF!</definedName>
    <definedName name="_UNI12580" localSheetId="1">#REF!</definedName>
    <definedName name="_UNI12580">#REF!</definedName>
    <definedName name="_UNI12600" localSheetId="1">#REF!</definedName>
    <definedName name="_UNI12600">#REF!</definedName>
    <definedName name="_UNI12610" localSheetId="1">#REF!</definedName>
    <definedName name="_UNI12610">#REF!</definedName>
    <definedName name="_UNI12630" localSheetId="1">#REF!</definedName>
    <definedName name="_UNI12630">#REF!</definedName>
    <definedName name="_UNI12631" localSheetId="1">#REF!</definedName>
    <definedName name="_UNI12631">#REF!</definedName>
    <definedName name="_UNI12640" localSheetId="1">#REF!</definedName>
    <definedName name="_UNI12640">#REF!</definedName>
    <definedName name="_UNI12645" localSheetId="1">#REF!</definedName>
    <definedName name="_UNI12645">#REF!</definedName>
    <definedName name="_UNI12665" localSheetId="1">#REF!</definedName>
    <definedName name="_UNI12665">#REF!</definedName>
    <definedName name="_UNI12690" localSheetId="1">#REF!</definedName>
    <definedName name="_UNI12690">#REF!</definedName>
    <definedName name="_UNI12700" localSheetId="1">#REF!</definedName>
    <definedName name="_UNI12700">#REF!</definedName>
    <definedName name="_UNI12710" localSheetId="1">#REF!</definedName>
    <definedName name="_UNI12710">#REF!</definedName>
    <definedName name="_UNI13111" localSheetId="1">#REF!</definedName>
    <definedName name="_UNI13111">#REF!</definedName>
    <definedName name="_UNI13112" localSheetId="1">#REF!</definedName>
    <definedName name="_UNI13112">#REF!</definedName>
    <definedName name="_UNI13121" localSheetId="1">#REF!</definedName>
    <definedName name="_UNI13121">#REF!</definedName>
    <definedName name="_UNI13720" localSheetId="1">#REF!</definedName>
    <definedName name="_UNI13720">#REF!</definedName>
    <definedName name="_UNI14100" localSheetId="1">#REF!</definedName>
    <definedName name="_UNI14100">#REF!</definedName>
    <definedName name="_UNI14161" localSheetId="1">#REF!</definedName>
    <definedName name="_UNI14161">#REF!</definedName>
    <definedName name="_UNI14195" localSheetId="1">#REF!</definedName>
    <definedName name="_UNI14195">#REF!</definedName>
    <definedName name="_UNI14205" localSheetId="1">#REF!</definedName>
    <definedName name="_UNI14205">#REF!</definedName>
    <definedName name="_UNI14260" localSheetId="1">#REF!</definedName>
    <definedName name="_UNI14260">#REF!</definedName>
    <definedName name="_UNI14500" localSheetId="1">#REF!</definedName>
    <definedName name="_UNI14500">#REF!</definedName>
    <definedName name="_UNI14515" localSheetId="1">#REF!</definedName>
    <definedName name="_UNI14515">#REF!</definedName>
    <definedName name="_UNI14555" localSheetId="1">#REF!</definedName>
    <definedName name="_UNI14555">#REF!</definedName>
    <definedName name="_UNI14565" localSheetId="1">#REF!</definedName>
    <definedName name="_UNI14565">#REF!</definedName>
    <definedName name="_UNI15135" localSheetId="1">#REF!</definedName>
    <definedName name="_UNI15135">#REF!</definedName>
    <definedName name="_UNI15140" localSheetId="1">#REF!</definedName>
    <definedName name="_UNI15140">#REF!</definedName>
    <definedName name="_UNI15195" localSheetId="1">#REF!</definedName>
    <definedName name="_UNI15195">#REF!</definedName>
    <definedName name="_UNI15225" localSheetId="1">#REF!</definedName>
    <definedName name="_UNI15225">#REF!</definedName>
    <definedName name="_UNI15230" localSheetId="1">#REF!</definedName>
    <definedName name="_UNI15230">#REF!</definedName>
    <definedName name="_UNI15515" localSheetId="1">#REF!</definedName>
    <definedName name="_UNI15515">#REF!</definedName>
    <definedName name="_UNI15560" localSheetId="1">#REF!</definedName>
    <definedName name="_UNI15560">#REF!</definedName>
    <definedName name="_UNI15565" localSheetId="1">#REF!</definedName>
    <definedName name="_UNI15565">#REF!</definedName>
    <definedName name="_UNI15570" localSheetId="1">#REF!</definedName>
    <definedName name="_UNI15570">#REF!</definedName>
    <definedName name="_UNI15575" localSheetId="1">#REF!</definedName>
    <definedName name="_UNI15575">#REF!</definedName>
    <definedName name="_UNI15583" localSheetId="1">#REF!</definedName>
    <definedName name="_UNI15583">#REF!</definedName>
    <definedName name="_UNI15590" localSheetId="1">#REF!</definedName>
    <definedName name="_UNI15590">#REF!</definedName>
    <definedName name="_UNI15591" localSheetId="1">#REF!</definedName>
    <definedName name="_UNI15591">#REF!</definedName>
    <definedName name="_UNI15610" localSheetId="1">#REF!</definedName>
    <definedName name="_UNI15610">#REF!</definedName>
    <definedName name="_UNI15625" localSheetId="1">#REF!</definedName>
    <definedName name="_UNI15625">#REF!</definedName>
    <definedName name="_UNI15635" localSheetId="1">#REF!</definedName>
    <definedName name="_UNI15635">#REF!</definedName>
    <definedName name="_UNI15655" localSheetId="1">#REF!</definedName>
    <definedName name="_UNI15655">#REF!</definedName>
    <definedName name="_UNI15665" localSheetId="1">#REF!</definedName>
    <definedName name="_UNI15665">#REF!</definedName>
    <definedName name="_UNI16515" localSheetId="1">#REF!</definedName>
    <definedName name="_UNI16515">#REF!</definedName>
    <definedName name="_UNI16535" localSheetId="1">#REF!</definedName>
    <definedName name="_UNI16535">#REF!</definedName>
    <definedName name="_UNI17140" localSheetId="1">#REF!</definedName>
    <definedName name="_UNI17140">#REF!</definedName>
    <definedName name="_UNI19500" localSheetId="1">#REF!</definedName>
    <definedName name="_UNI19500">#REF!</definedName>
    <definedName name="_UNI19501" localSheetId="1">#REF!</definedName>
    <definedName name="_UNI19501">#REF!</definedName>
    <definedName name="_UNI19502" localSheetId="1">#REF!</definedName>
    <definedName name="_UNI19502">#REF!</definedName>
    <definedName name="_UNI19503" localSheetId="1">#REF!</definedName>
    <definedName name="_UNI19503">#REF!</definedName>
    <definedName name="_UNI19504" localSheetId="1">#REF!</definedName>
    <definedName name="_UNI19504">#REF!</definedName>
    <definedName name="_UNI19505" localSheetId="1">#REF!</definedName>
    <definedName name="_UNI19505">#REF!</definedName>
    <definedName name="_UNI20100" localSheetId="1">#REF!</definedName>
    <definedName name="_UNI20100">#REF!</definedName>
    <definedName name="_UNI20105" localSheetId="1">#REF!</definedName>
    <definedName name="_UNI20105">#REF!</definedName>
    <definedName name="_UNI20110" localSheetId="1">#REF!</definedName>
    <definedName name="_UNI20110">#REF!</definedName>
    <definedName name="_UNI20115" localSheetId="1">#REF!</definedName>
    <definedName name="_UNI20115">#REF!</definedName>
    <definedName name="_UNI20130" localSheetId="1">#REF!</definedName>
    <definedName name="_UNI20130">#REF!</definedName>
    <definedName name="_UNI20135" localSheetId="1">#REF!</definedName>
    <definedName name="_UNI20135">#REF!</definedName>
    <definedName name="_UNI20140" localSheetId="1">#REF!</definedName>
    <definedName name="_UNI20140">#REF!</definedName>
    <definedName name="_UNI20145" localSheetId="1">#REF!</definedName>
    <definedName name="_UNI20145">#REF!</definedName>
    <definedName name="_UNI20150" localSheetId="1">#REF!</definedName>
    <definedName name="_UNI20150">#REF!</definedName>
    <definedName name="_UNI20155" localSheetId="1">#REF!</definedName>
    <definedName name="_UNI20155">#REF!</definedName>
    <definedName name="_UNI20175" localSheetId="1">#REF!</definedName>
    <definedName name="_UNI20175">#REF!</definedName>
    <definedName name="_UNI20185" localSheetId="1">#REF!</definedName>
    <definedName name="_UNI20185">#REF!</definedName>
    <definedName name="_UNI20190" localSheetId="1">#REF!</definedName>
    <definedName name="_UNI20190">#REF!</definedName>
    <definedName name="_UNI20195" localSheetId="1">#REF!</definedName>
    <definedName name="_UNI20195">#REF!</definedName>
    <definedName name="_UNI20210" localSheetId="1">#REF!</definedName>
    <definedName name="_UNI20210">#REF!</definedName>
    <definedName name="_VAL11100" localSheetId="1">#REF!</definedName>
    <definedName name="_VAL11100">#REF!</definedName>
    <definedName name="_VAL11110" localSheetId="1">#REF!</definedName>
    <definedName name="_VAL11110">#REF!</definedName>
    <definedName name="_VAL11115" localSheetId="1">#REF!</definedName>
    <definedName name="_VAL11115">#REF!</definedName>
    <definedName name="_VAL11125" localSheetId="1">#REF!</definedName>
    <definedName name="_VAL11125">#REF!</definedName>
    <definedName name="_VAL11130" localSheetId="1">#REF!</definedName>
    <definedName name="_VAL11130">#REF!</definedName>
    <definedName name="_VAL11135" localSheetId="1">#REF!</definedName>
    <definedName name="_VAL11135">#REF!</definedName>
    <definedName name="_VAL11145" localSheetId="1">#REF!</definedName>
    <definedName name="_VAL11145">#REF!</definedName>
    <definedName name="_VAL11150" localSheetId="1">#REF!</definedName>
    <definedName name="_VAL11150">#REF!</definedName>
    <definedName name="_VAL11165" localSheetId="1">#REF!</definedName>
    <definedName name="_VAL11165">#REF!</definedName>
    <definedName name="_VAL11170" localSheetId="1">#REF!</definedName>
    <definedName name="_VAL11170">#REF!</definedName>
    <definedName name="_VAL11180" localSheetId="1">#REF!</definedName>
    <definedName name="_VAL11180">#REF!</definedName>
    <definedName name="_VAL11185" localSheetId="1">#REF!</definedName>
    <definedName name="_VAL11185">#REF!</definedName>
    <definedName name="_VAL11220" localSheetId="1">#REF!</definedName>
    <definedName name="_VAL11220">#REF!</definedName>
    <definedName name="_VAL12105" localSheetId="1">#REF!</definedName>
    <definedName name="_VAL12105">#REF!</definedName>
    <definedName name="_VAL12555" localSheetId="1">#REF!</definedName>
    <definedName name="_VAL12555">#REF!</definedName>
    <definedName name="_VAL12570" localSheetId="1">#REF!</definedName>
    <definedName name="_VAL12570">#REF!</definedName>
    <definedName name="_VAL12575" localSheetId="1">#REF!</definedName>
    <definedName name="_VAL12575">#REF!</definedName>
    <definedName name="_VAL12580" localSheetId="1">#REF!</definedName>
    <definedName name="_VAL12580">#REF!</definedName>
    <definedName name="_VAL12600" localSheetId="1">#REF!</definedName>
    <definedName name="_VAL12600">#REF!</definedName>
    <definedName name="_VAL12610" localSheetId="1">#REF!</definedName>
    <definedName name="_VAL12610">#REF!</definedName>
    <definedName name="_VAL12630" localSheetId="1">#REF!</definedName>
    <definedName name="_VAL12630">#REF!</definedName>
    <definedName name="_VAL12631" localSheetId="1">#REF!</definedName>
    <definedName name="_VAL12631">#REF!</definedName>
    <definedName name="_VAL12640" localSheetId="1">#REF!</definedName>
    <definedName name="_VAL12640">#REF!</definedName>
    <definedName name="_VAL12645" localSheetId="1">#REF!</definedName>
    <definedName name="_VAL12645">#REF!</definedName>
    <definedName name="_VAL12665" localSheetId="1">#REF!</definedName>
    <definedName name="_VAL12665">#REF!</definedName>
    <definedName name="_VAL12690" localSheetId="1">#REF!</definedName>
    <definedName name="_VAL12690">#REF!</definedName>
    <definedName name="_VAL12700" localSheetId="1">#REF!</definedName>
    <definedName name="_VAL12700">#REF!</definedName>
    <definedName name="_VAL12710" localSheetId="1">#REF!</definedName>
    <definedName name="_VAL12710">#REF!</definedName>
    <definedName name="_VAL13111" localSheetId="1">#REF!</definedName>
    <definedName name="_VAL13111">#REF!</definedName>
    <definedName name="_VAL13112" localSheetId="1">#REF!</definedName>
    <definedName name="_VAL13112">#REF!</definedName>
    <definedName name="_VAL13121" localSheetId="1">#REF!</definedName>
    <definedName name="_VAL13121">#REF!</definedName>
    <definedName name="_VAL13720" localSheetId="1">#REF!</definedName>
    <definedName name="_VAL13720">#REF!</definedName>
    <definedName name="_VAL14100" localSheetId="1">#REF!</definedName>
    <definedName name="_VAL14100">#REF!</definedName>
    <definedName name="_VAL14161" localSheetId="1">#REF!</definedName>
    <definedName name="_VAL14161">#REF!</definedName>
    <definedName name="_VAL14195" localSheetId="1">#REF!</definedName>
    <definedName name="_VAL14195">#REF!</definedName>
    <definedName name="_VAL14205" localSheetId="1">#REF!</definedName>
    <definedName name="_VAL14205">#REF!</definedName>
    <definedName name="_VAL14260" localSheetId="1">#REF!</definedName>
    <definedName name="_VAL14260">#REF!</definedName>
    <definedName name="_VAL14500" localSheetId="1">#REF!</definedName>
    <definedName name="_VAL14500">#REF!</definedName>
    <definedName name="_VAL14515" localSheetId="1">#REF!</definedName>
    <definedName name="_VAL14515">#REF!</definedName>
    <definedName name="_VAL14555" localSheetId="1">#REF!</definedName>
    <definedName name="_VAL14555">#REF!</definedName>
    <definedName name="_VAL14565" localSheetId="1">#REF!</definedName>
    <definedName name="_VAL14565">#REF!</definedName>
    <definedName name="_VAL15135" localSheetId="1">#REF!</definedName>
    <definedName name="_VAL15135">#REF!</definedName>
    <definedName name="_VAL15140" localSheetId="1">#REF!</definedName>
    <definedName name="_VAL15140">#REF!</definedName>
    <definedName name="_VAL15195" localSheetId="1">#REF!</definedName>
    <definedName name="_VAL15195">#REF!</definedName>
    <definedName name="_VAL15225" localSheetId="1">#REF!</definedName>
    <definedName name="_VAL15225">#REF!</definedName>
    <definedName name="_VAL15230" localSheetId="1">#REF!</definedName>
    <definedName name="_VAL15230">#REF!</definedName>
    <definedName name="_VAL15515" localSheetId="1">#REF!</definedName>
    <definedName name="_VAL15515">#REF!</definedName>
    <definedName name="_VAL15560" localSheetId="1">#REF!</definedName>
    <definedName name="_VAL15560">#REF!</definedName>
    <definedName name="_VAL15565" localSheetId="1">#REF!</definedName>
    <definedName name="_VAL15565">#REF!</definedName>
    <definedName name="_VAL15570" localSheetId="1">#REF!</definedName>
    <definedName name="_VAL15570">#REF!</definedName>
    <definedName name="_VAL15575" localSheetId="1">#REF!</definedName>
    <definedName name="_VAL15575">#REF!</definedName>
    <definedName name="_VAL15583" localSheetId="1">#REF!</definedName>
    <definedName name="_VAL15583">#REF!</definedName>
    <definedName name="_VAL15590" localSheetId="1">#REF!</definedName>
    <definedName name="_VAL15590">#REF!</definedName>
    <definedName name="_VAL15591" localSheetId="1">#REF!</definedName>
    <definedName name="_VAL15591">#REF!</definedName>
    <definedName name="_VAL15610" localSheetId="1">#REF!</definedName>
    <definedName name="_VAL15610">#REF!</definedName>
    <definedName name="_VAL15625" localSheetId="1">#REF!</definedName>
    <definedName name="_VAL15625">#REF!</definedName>
    <definedName name="_VAL15635" localSheetId="1">#REF!</definedName>
    <definedName name="_VAL15635">#REF!</definedName>
    <definedName name="_VAL15655" localSheetId="1">#REF!</definedName>
    <definedName name="_VAL15655">#REF!</definedName>
    <definedName name="_VAL15665" localSheetId="1">#REF!</definedName>
    <definedName name="_VAL15665">#REF!</definedName>
    <definedName name="_VAL16515" localSheetId="1">#REF!</definedName>
    <definedName name="_VAL16515">#REF!</definedName>
    <definedName name="_VAL16535" localSheetId="1">#REF!</definedName>
    <definedName name="_VAL16535">#REF!</definedName>
    <definedName name="_VAL17140" localSheetId="1">#REF!</definedName>
    <definedName name="_VAL17140">#REF!</definedName>
    <definedName name="_VAL19500" localSheetId="1">#REF!</definedName>
    <definedName name="_VAL19500">#REF!</definedName>
    <definedName name="_VAL19501" localSheetId="1">#REF!</definedName>
    <definedName name="_VAL19501">#REF!</definedName>
    <definedName name="_VAL19502" localSheetId="1">#REF!</definedName>
    <definedName name="_VAL19502">#REF!</definedName>
    <definedName name="_VAL19503" localSheetId="1">#REF!</definedName>
    <definedName name="_VAL19503">#REF!</definedName>
    <definedName name="_VAL19504" localSheetId="1">#REF!</definedName>
    <definedName name="_VAL19504">#REF!</definedName>
    <definedName name="_VAL19505" localSheetId="1">#REF!</definedName>
    <definedName name="_VAL19505">#REF!</definedName>
    <definedName name="_VAL20100" localSheetId="1">#REF!</definedName>
    <definedName name="_VAL20100">#REF!</definedName>
    <definedName name="_VAL20105" localSheetId="1">#REF!</definedName>
    <definedName name="_VAL20105">#REF!</definedName>
    <definedName name="_VAL20110" localSheetId="1">#REF!</definedName>
    <definedName name="_VAL20110">#REF!</definedName>
    <definedName name="_VAL20115" localSheetId="1">#REF!</definedName>
    <definedName name="_VAL20115">#REF!</definedName>
    <definedName name="_VAL20130" localSheetId="1">#REF!</definedName>
    <definedName name="_VAL20130">#REF!</definedName>
    <definedName name="_VAL20135" localSheetId="1">#REF!</definedName>
    <definedName name="_VAL20135">#REF!</definedName>
    <definedName name="_VAL20140" localSheetId="1">#REF!</definedName>
    <definedName name="_VAL20140">#REF!</definedName>
    <definedName name="_VAL20145" localSheetId="1">#REF!</definedName>
    <definedName name="_VAL20145">#REF!</definedName>
    <definedName name="_VAL20150" localSheetId="1">#REF!</definedName>
    <definedName name="_VAL20150">#REF!</definedName>
    <definedName name="_VAL20155" localSheetId="1">#REF!</definedName>
    <definedName name="_VAL20155">#REF!</definedName>
    <definedName name="_VAL20175" localSheetId="1">#REF!</definedName>
    <definedName name="_VAL20175">#REF!</definedName>
    <definedName name="_VAL20185" localSheetId="1">#REF!</definedName>
    <definedName name="_VAL20185">#REF!</definedName>
    <definedName name="_VAL20190" localSheetId="1">#REF!</definedName>
    <definedName name="_VAL20190">#REF!</definedName>
    <definedName name="_VAL20195" localSheetId="1">#REF!</definedName>
    <definedName name="_VAL20195">#REF!</definedName>
    <definedName name="_VAL20210" localSheetId="1">#REF!</definedName>
    <definedName name="_VAL20210">#REF!</definedName>
    <definedName name="_WCS13_" localSheetId="1">[1]reforma!#REF!</definedName>
    <definedName name="_WCS13_">[1]reforma!#REF!</definedName>
    <definedName name="_WCS43_" localSheetId="1">[1]reforma!#REF!</definedName>
    <definedName name="_WCS43_">[1]reforma!#REF!</definedName>
    <definedName name="_WDCN1.S1_" localSheetId="1">[1]reforma!#REF!</definedName>
    <definedName name="_WDCN1.S1_">[1]reforma!#REF!</definedName>
    <definedName name="_WGZY_" localSheetId="1">#REF!</definedName>
    <definedName name="_WGZY_">#REF!</definedName>
    <definedName name="_WGZY__6" localSheetId="1">#REF!</definedName>
    <definedName name="_WGZY__6">#REF!</definedName>
    <definedName name="_WICE1_" localSheetId="1">[1]reforma!#REF!</definedName>
    <definedName name="_WICE1_">[1]reforma!#REF!</definedName>
    <definedName name="_WIRA1.A8_" localSheetId="1">[1]reforma!#REF!</definedName>
    <definedName name="_WIRA1.A8_">[1]reforma!#REF!</definedName>
    <definedName name="_x" localSheetId="1">#REF!</definedName>
    <definedName name="_x">#REF!</definedName>
    <definedName name="_Y" localSheetId="1">[1]reforma!#REF!</definedName>
    <definedName name="_Y">[1]reforma!#REF!</definedName>
    <definedName name="_Y_1" localSheetId="1">[1]reforma!#REF!</definedName>
    <definedName name="_Y_1">[1]reforma!#REF!</definedName>
    <definedName name="a" localSheetId="1">#REF!</definedName>
    <definedName name="a">#REF!</definedName>
    <definedName name="A_10" localSheetId="1">#REF!</definedName>
    <definedName name="A_10">#REF!</definedName>
    <definedName name="A_11">#REF!</definedName>
    <definedName name="A_12">#REF!</definedName>
    <definedName name="A_13">#REF!</definedName>
    <definedName name="A_14">#REF!</definedName>
    <definedName name="A_15">#REF!</definedName>
    <definedName name="A_16">#REF!</definedName>
    <definedName name="A_17">#REF!</definedName>
    <definedName name="A_18">#REF!</definedName>
    <definedName name="A_2">#REF!</definedName>
    <definedName name="a_4">#REF!</definedName>
    <definedName name="A_5">#REF!</definedName>
    <definedName name="A_7">#REF!</definedName>
    <definedName name="A_8">#REF!</definedName>
    <definedName name="A_9">#REF!</definedName>
    <definedName name="A_Brita_25" localSheetId="1">#REF!</definedName>
    <definedName name="A_Brita_25">#REF!</definedName>
    <definedName name="A_Chapisco" localSheetId="1">#REF!</definedName>
    <definedName name="A_Chapisco">#REF!</definedName>
    <definedName name="A_Comprimento" localSheetId="1">#REF!</definedName>
    <definedName name="A_Comprimento">#REF!</definedName>
    <definedName name="A_Concreto_A" localSheetId="1">#REF!</definedName>
    <definedName name="A_Concreto_A">#REF!</definedName>
    <definedName name="A_Concreto_M" localSheetId="1">#REF!</definedName>
    <definedName name="A_Concreto_M">#REF!</definedName>
    <definedName name="A_Concreto_S" localSheetId="1">#REF!</definedName>
    <definedName name="A_Concreto_S">#REF!</definedName>
    <definedName name="A_Escavação" localSheetId="1">#REF!</definedName>
    <definedName name="A_Escavação">#REF!</definedName>
    <definedName name="A_Espessura" localSheetId="1">#REF!</definedName>
    <definedName name="A_Espessura">#REF!</definedName>
    <definedName name="A_km">#REF!</definedName>
    <definedName name="A_Largura" localSheetId="1">#REF!</definedName>
    <definedName name="A_Largura">#REF!</definedName>
    <definedName name="A_Massa_única" localSheetId="1">#REF!</definedName>
    <definedName name="A_Massa_única">#REF!</definedName>
    <definedName name="A_Pintura" localSheetId="1">#REF!</definedName>
    <definedName name="A_Pintura">#REF!</definedName>
    <definedName name="A_Profundidade" localSheetId="1">#REF!</definedName>
    <definedName name="A_Profundidade">#REF!</definedName>
    <definedName name="A_reaterro" localSheetId="1">#REF!</definedName>
    <definedName name="A_reaterro">#REF!</definedName>
    <definedName name="a1B16279" localSheetId="1">#REF!</definedName>
    <definedName name="a1B16279">#REF!</definedName>
    <definedName name="AA" localSheetId="1">#REF!</definedName>
    <definedName name="AA">#REF!</definedName>
    <definedName name="AA_1">#REF!</definedName>
    <definedName name="AA_10">#REF!</definedName>
    <definedName name="AA_12">#REF!</definedName>
    <definedName name="AA_13">#REF!</definedName>
    <definedName name="AA_19">#REF!</definedName>
    <definedName name="AA_2">#REF!</definedName>
    <definedName name="AA_21">#REF!</definedName>
    <definedName name="AA_23">#REF!</definedName>
    <definedName name="AA_24">#REF!</definedName>
    <definedName name="AA_26">#REF!</definedName>
    <definedName name="AA_27">#REF!</definedName>
    <definedName name="AA_29">#REF!</definedName>
    <definedName name="AA_30">#REF!</definedName>
    <definedName name="AA_31">#REF!</definedName>
    <definedName name="AA_33">#REF!</definedName>
    <definedName name="AA_34">#REF!</definedName>
    <definedName name="AA_35">#REF!</definedName>
    <definedName name="AA_36">#REF!</definedName>
    <definedName name="AA_37">#REF!</definedName>
    <definedName name="AA_38">#REF!</definedName>
    <definedName name="AA_39">#REF!</definedName>
    <definedName name="AA_4">#REF!</definedName>
    <definedName name="AA_40">#REF!</definedName>
    <definedName name="AA_41">#REF!</definedName>
    <definedName name="AA_42">#REF!</definedName>
    <definedName name="AA_43">#REF!</definedName>
    <definedName name="AA_44">#REF!</definedName>
    <definedName name="AA_45">#REF!</definedName>
    <definedName name="AA_46">#REF!</definedName>
    <definedName name="AA_47">#REF!</definedName>
    <definedName name="AA_48">#REF!</definedName>
    <definedName name="AA_51">#REF!</definedName>
    <definedName name="AA_52">#REF!</definedName>
    <definedName name="AA_53">#REF!</definedName>
    <definedName name="AA_54">#REF!</definedName>
    <definedName name="AA_55">#REF!</definedName>
    <definedName name="AA_56">#REF!</definedName>
    <definedName name="AA_57">#REF!</definedName>
    <definedName name="AA_58">#REF!</definedName>
    <definedName name="AA_59">#REF!</definedName>
    <definedName name="AA_60">#REF!</definedName>
    <definedName name="AA_61">#REF!</definedName>
    <definedName name="AA_62">#REF!</definedName>
    <definedName name="AA_63">#REF!</definedName>
    <definedName name="AA_64">#REF!</definedName>
    <definedName name="AA_65">#REF!</definedName>
    <definedName name="AA_66">#REF!</definedName>
    <definedName name="AA_67">#REF!</definedName>
    <definedName name="AA_68">#REF!</definedName>
    <definedName name="AA_69">#REF!</definedName>
    <definedName name="AA_7">#REF!</definedName>
    <definedName name="AA_70">#REF!</definedName>
    <definedName name="AA_71">#REF!</definedName>
    <definedName name="AA_72">#REF!</definedName>
    <definedName name="AA_8">#REF!</definedName>
    <definedName name="AAA" localSheetId="1">#REF!</definedName>
    <definedName name="AAA">#REF!</definedName>
    <definedName name="aaaa" localSheetId="1">#REF!</definedName>
    <definedName name="aaaa">#REF!</definedName>
    <definedName name="AAAAA">#REF!</definedName>
    <definedName name="aaaaaa" localSheetId="1">#REF!</definedName>
    <definedName name="aaaaaa">#REF!</definedName>
    <definedName name="AAAAAAA">#REF!</definedName>
    <definedName name="aaaaaaaa">#REF!</definedName>
    <definedName name="aaaaaaaaaaaa">#REF!</definedName>
    <definedName name="AAAAAAAAAAAAA">#REF!</definedName>
    <definedName name="aaaaddd">#REF!</definedName>
    <definedName name="aasas">#REF!</definedName>
    <definedName name="aauf">#REF!</definedName>
    <definedName name="aauf_2">#REF!</definedName>
    <definedName name="aauq">#REF!</definedName>
    <definedName name="aauq_2">#REF!</definedName>
    <definedName name="AB">#REF!</definedName>
    <definedName name="ABC">#REF!</definedName>
    <definedName name="ABC_ATUAL">#REF!</definedName>
    <definedName name="ABC_LAGOA">#REF!</definedName>
    <definedName name="ABRA">#REF!</definedName>
    <definedName name="Ac" localSheetId="1">#REF!</definedName>
    <definedName name="Ac">#REF!</definedName>
    <definedName name="ACAP20">#REF!</definedName>
    <definedName name="ACRE">#REF!</definedName>
    <definedName name="activatedados.form2" localSheetId="1">IF(ISNUMBER([10]Eventograma_e_Quantitativos!$K1),[10]Eventograma_e_Quantitativos!$K1&amp;"-"&amp;INDEX([0]!Eventos,[10]Eventograma_e_Quantitativos!$K1,2),"")</definedName>
    <definedName name="activatedados.form2">IF(ISNUMBER([11]Eventograma_e_Quantitativos!$K1),[11]Eventograma_e_Quantitativos!$K1&amp;"-"&amp;INDEX(Eventos,[11]Eventograma_e_Quantitativos!$K1,2),"")</definedName>
    <definedName name="acumulado" localSheetId="1">#REF!</definedName>
    <definedName name="acumulado">#REF!</definedName>
    <definedName name="acumulado_2">#REF!</definedName>
    <definedName name="acumulado_4">#REF!</definedName>
    <definedName name="acumulado_4_2">#REF!</definedName>
    <definedName name="ACVRVBR">#REF!</definedName>
    <definedName name="AD" localSheetId="1">#REF!</definedName>
    <definedName name="AD">#REF!</definedName>
    <definedName name="ADASF">#REF!</definedName>
    <definedName name="ADASFDS">#REF!</definedName>
    <definedName name="ADDa">#REF!</definedName>
    <definedName name="ADDDD" localSheetId="1">#REF!</definedName>
    <definedName name="ADDDD">#REF!</definedName>
    <definedName name="ademir" localSheetId="1" hidden="1">{#N/A,#N/A,FALSE,"Cronograma";#N/A,#N/A,FALSE,"Cronogr. 2"}</definedName>
    <definedName name="ademir">{#N/A,#N/A,FALSE,"Cronograma";#N/A,#N/A,FALSE,"Cronogr. 2"}</definedName>
    <definedName name="adf" localSheetId="1">#REF!</definedName>
    <definedName name="adf">#REF!</definedName>
    <definedName name="adfedfds">#REF!</definedName>
    <definedName name="ADFSDA">#REF!</definedName>
    <definedName name="ADFSFSD">#REF!</definedName>
    <definedName name="ADMO">#REF!</definedName>
    <definedName name="AdPeri" localSheetId="1">#REF!</definedName>
    <definedName name="AdPeri">#REF!</definedName>
    <definedName name="ADPL" localSheetId="1">#REF!</definedName>
    <definedName name="ADPL">#REF!</definedName>
    <definedName name="ADS" localSheetId="1">#REF!</definedName>
    <definedName name="ADS">#REF!</definedName>
    <definedName name="AEMUL">#REF!</definedName>
    <definedName name="AFDD">#REF!</definedName>
    <definedName name="AFSDF" localSheetId="1">#REF!</definedName>
    <definedName name="AFSDF">#REF!</definedName>
    <definedName name="AFSF" localSheetId="1">#REF!</definedName>
    <definedName name="AFSF">#REF!</definedName>
    <definedName name="AFSFS">#REF!</definedName>
    <definedName name="ago">#REF!</definedName>
    <definedName name="AGOA">#REF!</definedName>
    <definedName name="AGREGADO">#REF!</definedName>
    <definedName name="AGREGADO_10">#REF!</definedName>
    <definedName name="AGREGADO_10_19">#REF!</definedName>
    <definedName name="AGREGADO_17">#REF!</definedName>
    <definedName name="AGREGADO_17_19">#REF!</definedName>
    <definedName name="AGREGADO_19">#REF!</definedName>
    <definedName name="AGREGADO_6">#REF!</definedName>
    <definedName name="AGREGADO_6_19">#REF!</definedName>
    <definedName name="AGREGADO_7">#REF!</definedName>
    <definedName name="AGREGADO_7_19">#REF!</definedName>
    <definedName name="AGREGADO_8">#REF!</definedName>
    <definedName name="AGREGADO_8_19">#REF!</definedName>
    <definedName name="AGREGADO_9">#REF!</definedName>
    <definedName name="AGREGADO_9_19">#REF!</definedName>
    <definedName name="AGSD" localSheetId="1">#REF!</definedName>
    <definedName name="AGSD">#REF!</definedName>
    <definedName name="AGSDG" localSheetId="1">#REF!</definedName>
    <definedName name="AGSDG">#REF!</definedName>
    <definedName name="AIL">#REF!</definedName>
    <definedName name="AILTON">#REF!</definedName>
    <definedName name="AJUDA">#REF!</definedName>
    <definedName name="AKSDGL" localSheetId="1">#REF!</definedName>
    <definedName name="AKSDGL">#REF!</definedName>
    <definedName name="alcool">#REF!</definedName>
    <definedName name="Alex" localSheetId="1">#REF!</definedName>
    <definedName name="Alex">#REF!</definedName>
    <definedName name="ALIMENTAÇÃO.">#REF!</definedName>
    <definedName name="ALMOÇO101">#REF!</definedName>
    <definedName name="ALMOÇO110">#REF!</definedName>
    <definedName name="ALTA" localSheetId="1">'[3]pro-08'!#REF!</definedName>
    <definedName name="ALTA">'[3]pro-08'!#REF!</definedName>
    <definedName name="ALTA_10" localSheetId="1">#REF!</definedName>
    <definedName name="ALTA_10">#REF!</definedName>
    <definedName name="ALTA_11">#REF!</definedName>
    <definedName name="ALTA_12">#REF!</definedName>
    <definedName name="ALTA_13">#REF!</definedName>
    <definedName name="ALTA_14">#REF!</definedName>
    <definedName name="ALTA_15">#REF!</definedName>
    <definedName name="ALTA_16">#REF!</definedName>
    <definedName name="ALTA_17">#REF!</definedName>
    <definedName name="ALTA_18">#REF!</definedName>
    <definedName name="ALTA_5">#REF!</definedName>
    <definedName name="ALTA_6">#REF!</definedName>
    <definedName name="ALTA_7">#REF!</definedName>
    <definedName name="ALTA_8">#REF!</definedName>
    <definedName name="ALTA_9">#REF!</definedName>
    <definedName name="alteração2">#REF!</definedName>
    <definedName name="alvenaria_1" localSheetId="1">#REF!</definedName>
    <definedName name="alvenaria_1">#REF!</definedName>
    <definedName name="alvenaria_1_1_2" localSheetId="1">#REF!</definedName>
    <definedName name="alvenaria_1_1_2">#REF!</definedName>
    <definedName name="alvenaria_1_2" localSheetId="1">#REF!</definedName>
    <definedName name="alvenaria_1_2">#REF!</definedName>
    <definedName name="Alvenaria_vedação" localSheetId="1">#REF!</definedName>
    <definedName name="Alvenaria_vedação">#REF!</definedName>
    <definedName name="ALVEREVEST">#REF!</definedName>
    <definedName name="amarela" localSheetId="1">#REF!</definedName>
    <definedName name="amarela">#REF!</definedName>
    <definedName name="amarela_2">#REF!</definedName>
    <definedName name="amarela_4">#REF!</definedName>
    <definedName name="amarelaa">#REF!</definedName>
    <definedName name="AMBIENTE">#REF!</definedName>
    <definedName name="AMO">#REF!</definedName>
    <definedName name="AMORLDMLENFK" localSheetId="1">[7]composição!#REF!</definedName>
    <definedName name="AMORLDMLENFK">[7]composição!#REF!</definedName>
    <definedName name="ANA" localSheetId="1">'[12]refor out_ 2001 _ bdi_20_ ajust'!#REF!</definedName>
    <definedName name="ANA">'[12]refor out_ 2001 _ bdi_20_ ajust'!#REF!</definedName>
    <definedName name="ANDRE" localSheetId="1">#REF!</definedName>
    <definedName name="ANDRE">#REF!</definedName>
    <definedName name="anel" localSheetId="1">#REF!</definedName>
    <definedName name="anel">#REF!</definedName>
    <definedName name="ANEXO_10_MATRIZ_DE_RESPONSABILIDADE">#REF!</definedName>
    <definedName name="ANO">#REF!</definedName>
    <definedName name="anos">#REF!</definedName>
    <definedName name="anscount">3</definedName>
    <definedName name="ant" localSheetId="1">#REF!</definedName>
    <definedName name="ant">#REF!</definedName>
    <definedName name="ANTIGA" localSheetId="1">#REF!</definedName>
    <definedName name="ANTIGA">#REF!</definedName>
    <definedName name="AQCAP20">#REF!</definedName>
    <definedName name="AQCM30">#REF!</definedName>
    <definedName name="AQRM1C">#REF!</definedName>
    <definedName name="AQRR1C">#REF!</definedName>
    <definedName name="ar">#REF!</definedName>
    <definedName name="area">#REF!</definedName>
    <definedName name="ÀREA">#REF!</definedName>
    <definedName name="ÀREA_ACUM">#REF!</definedName>
    <definedName name="area_base">[7]Base!$U$40</definedName>
    <definedName name="Area_de_immpressao" localSheetId="1">#REF!</definedName>
    <definedName name="Area_de_immpressao">#REF!</definedName>
    <definedName name="Area_de_Impreessao">#REF!</definedName>
    <definedName name="_xlnm.Print_Area" localSheetId="3">BDI!$A$1:$I$65</definedName>
    <definedName name="_xlnm.Print_Area" localSheetId="2">CRONOGRAMA!$A$1:$N$320</definedName>
    <definedName name="_xlnm.Print_Area" localSheetId="1">Memória!$F$1:$O$5337</definedName>
    <definedName name="_xlnm.Print_Area" localSheetId="0">'ORÇAMENTO SINTETICO'!$A$1:$K$1494</definedName>
    <definedName name="_xlnm.Print_Area">#REF!</definedName>
    <definedName name="Area_de_impressaoo" localSheetId="1">#REF!</definedName>
    <definedName name="Area_de_impressaoo">#REF!</definedName>
    <definedName name="Area_de_impressaooo">#REF!</definedName>
    <definedName name="Area_de_impressaoooo">#REF!</definedName>
    <definedName name="Area_de_impressaooooo">#REF!</definedName>
    <definedName name="Area_de_impresssao">#REF!</definedName>
    <definedName name="Area_de_IMPRESSSAOO">#REF!</definedName>
    <definedName name="Area_de_Impressssao">#REF!</definedName>
    <definedName name="Area_de_impresssssao">#REF!</definedName>
    <definedName name="Área_impressão_IM" localSheetId="1">#REF!</definedName>
    <definedName name="Área_impressão_IM">#REF!</definedName>
    <definedName name="Área_impressão_IM_4">#REF!</definedName>
    <definedName name="AREAL">#REF!</definedName>
    <definedName name="AREAL_48">#REF!</definedName>
    <definedName name="AreaTeste" localSheetId="1">#REF!</definedName>
    <definedName name="AreaTeste">#REF!</definedName>
    <definedName name="AreaTeste2" localSheetId="1">#REF!</definedName>
    <definedName name="AreaTeste2">#REF!</definedName>
    <definedName name="areia" localSheetId="1">#REF!</definedName>
    <definedName name="areia">#REF!</definedName>
    <definedName name="ARG">#REF!</definedName>
    <definedName name="ARI">#REF!</definedName>
    <definedName name="Arial" localSheetId="1">#REF!</definedName>
    <definedName name="Arial">#REF!</definedName>
    <definedName name="ARLIIIIIIIII">#REF!</definedName>
    <definedName name="Artes">#REF!</definedName>
    <definedName name="artFiscal" localSheetId="1">[10]DADOS!$D$23</definedName>
    <definedName name="artFiscal">[11]DADOS!$D$23</definedName>
    <definedName name="as" localSheetId="1">#REF!</definedName>
    <definedName name="as">#REF!</definedName>
    <definedName name="as_10">#REF!</definedName>
    <definedName name="as_11">#REF!</definedName>
    <definedName name="as_12">#REF!</definedName>
    <definedName name="as_13">#REF!</definedName>
    <definedName name="as_14">#REF!</definedName>
    <definedName name="as_15">#REF!</definedName>
    <definedName name="as_16">#REF!</definedName>
    <definedName name="as_17">#REF!</definedName>
    <definedName name="as_18">#REF!</definedName>
    <definedName name="as_2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A" localSheetId="1">#REF!</definedName>
    <definedName name="ASA">#REF!</definedName>
    <definedName name="asas">#REF!</definedName>
    <definedName name="asas_10">#REF!</definedName>
    <definedName name="asas_11">#REF!</definedName>
    <definedName name="asas_12">#REF!</definedName>
    <definedName name="asas_13">#REF!</definedName>
    <definedName name="asas_14">#REF!</definedName>
    <definedName name="asas_15">#REF!</definedName>
    <definedName name="asas_16">#REF!</definedName>
    <definedName name="asas_17">#REF!</definedName>
    <definedName name="asas_18">#REF!</definedName>
    <definedName name="asas_5">#REF!</definedName>
    <definedName name="asas_6">#REF!</definedName>
    <definedName name="asas_7">#REF!</definedName>
    <definedName name="asas_8">#REF!</definedName>
    <definedName name="asas_9">#REF!</definedName>
    <definedName name="ASASA">#REF!</definedName>
    <definedName name="asasdadad">#REF!</definedName>
    <definedName name="asd" localSheetId="1">#REF!</definedName>
    <definedName name="asd">#REF!</definedName>
    <definedName name="asdf" localSheetId="1">#REF!</definedName>
    <definedName name="asdf">#REF!</definedName>
    <definedName name="asdfas" localSheetId="1">#REF!</definedName>
    <definedName name="asdfas">#REF!</definedName>
    <definedName name="ASDFF" localSheetId="1">#REF!</definedName>
    <definedName name="ASDFF">#REF!</definedName>
    <definedName name="asdfghj">#REF!</definedName>
    <definedName name="ASDFSFDS">#REF!</definedName>
    <definedName name="ASDSAD">#REF!</definedName>
    <definedName name="ASDSAD_10">#REF!</definedName>
    <definedName name="ASDSAD_11">#REF!</definedName>
    <definedName name="ASDSAD_12">#REF!</definedName>
    <definedName name="ASDSAD_13">#REF!</definedName>
    <definedName name="ASDSAD_14">#REF!</definedName>
    <definedName name="ASDSAD_15">#REF!</definedName>
    <definedName name="ASDSAD_16">#REF!</definedName>
    <definedName name="ASDSAD_17">#REF!</definedName>
    <definedName name="ASDSAD_18">#REF!</definedName>
    <definedName name="ASDSAD_2">#REF!</definedName>
    <definedName name="ASDSAD_5">#REF!</definedName>
    <definedName name="ASDSAD_6">#REF!</definedName>
    <definedName name="ASDSAD_7">#REF!</definedName>
    <definedName name="ASDSAD_8">#REF!</definedName>
    <definedName name="ASDSAD_9">#REF!</definedName>
    <definedName name="ASFDG" localSheetId="1">#REF!</definedName>
    <definedName name="ASFDG">#REF!</definedName>
    <definedName name="ASFDGD" localSheetId="1">#REF!</definedName>
    <definedName name="ASFDGD">#REF!</definedName>
    <definedName name="ASFDSFD">#REF!</definedName>
    <definedName name="ASFDSFS">#REF!</definedName>
    <definedName name="ASFS">#REF!</definedName>
    <definedName name="ASFSFA">#REF!</definedName>
    <definedName name="ASFSFDS">#REF!</definedName>
    <definedName name="ASFVASV" localSheetId="1">#REF!</definedName>
    <definedName name="ASFVASV">#REF!</definedName>
    <definedName name="ASG" localSheetId="1">#REF!</definedName>
    <definedName name="ASG">#REF!</definedName>
    <definedName name="ASGD" localSheetId="1">#REF!</definedName>
    <definedName name="ASGD">#REF!</definedName>
    <definedName name="ASGDF" localSheetId="1">#REF!</definedName>
    <definedName name="ASGDF">#REF!</definedName>
    <definedName name="ASP">#REF!</definedName>
    <definedName name="ASSEN_TUBO_EMISS" localSheetId="1">#REF!</definedName>
    <definedName name="ASSEN_TUBO_EMISS">#REF!</definedName>
    <definedName name="ASSEN_TUBO_EMISS2" localSheetId="1">#REF!</definedName>
    <definedName name="ASSEN_TUBO_EMISS2">#REF!</definedName>
    <definedName name="ASSENT_EMISS3_S" localSheetId="1">#REF!</definedName>
    <definedName name="ASSENT_EMISS3_S">#REF!</definedName>
    <definedName name="ASSENT_TUBO" localSheetId="1">#REF!</definedName>
    <definedName name="ASSENT_TUBO">#REF!</definedName>
    <definedName name="Assina">#REF!</definedName>
    <definedName name="ASVDVFA" localSheetId="1">#REF!</definedName>
    <definedName name="ASVDVFA">#REF!</definedName>
    <definedName name="ATA_DE_REUNIÃO">#REF!</definedName>
    <definedName name="ATENÇÃO" localSheetId="1" hidden="1">{#N/A,#N/A,FALSE,"MO (2)"}</definedName>
    <definedName name="ATENÇÃO">{#N/A,#N/A,FALSE,"MO (2)"}</definedName>
    <definedName name="Atividad" localSheetId="1">#REF!</definedName>
    <definedName name="Atividad">#REF!</definedName>
    <definedName name="ATIVIDADE">#REF!</definedName>
    <definedName name="ATUAL">#REF!</definedName>
    <definedName name="AUREA">#REF!</definedName>
    <definedName name="auspicio">#REF!</definedName>
    <definedName name="Aut_original">[13]projeto!#REF!</definedName>
    <definedName name="Aut_original2" localSheetId="1">#REF!</definedName>
    <definedName name="Aut_original2">#REF!</definedName>
    <definedName name="Aut_r2">#REF!</definedName>
    <definedName name="Aut_resumo">[14]resumo_aut1!#REF!</definedName>
    <definedName name="AUTO" localSheetId="1">#REF!</definedName>
    <definedName name="AUTO">#REF!</definedName>
    <definedName name="AUTOMOVEL">#REF!</definedName>
    <definedName name="aux" localSheetId="1">#REF!</definedName>
    <definedName name="aux">#REF!</definedName>
    <definedName name="AUX.">#REF!</definedName>
    <definedName name="AuxHab" localSheetId="1">#REF!</definedName>
    <definedName name="AuxHab">#REF!</definedName>
    <definedName name="auxiliar" localSheetId="1">#REF!</definedName>
    <definedName name="auxiliar">#REF!</definedName>
    <definedName name="AUXILIARES">#REF!</definedName>
    <definedName name="Av.Fis.">#REF!</definedName>
    <definedName name="Avanco">#REF!</definedName>
    <definedName name="avanço">#REF!</definedName>
    <definedName name="AVANCOFINANCEIRO">#REF!</definedName>
    <definedName name="AVC">#REF!</definedName>
    <definedName name="aZUEN" localSheetId="1" hidden="1">#REF!</definedName>
    <definedName name="aZUEN">#REF!</definedName>
    <definedName name="azul" localSheetId="1">#REF!</definedName>
    <definedName name="azul">#REF!</definedName>
    <definedName name="azul_2">#REF!</definedName>
    <definedName name="azul_4">#REF!</definedName>
    <definedName name="azull">#REF!</definedName>
    <definedName name="AZULLSINAL">#REF!</definedName>
    <definedName name="AZULSINAL" localSheetId="1">#REF!</definedName>
    <definedName name="AZULSINAL">#REF!</definedName>
    <definedName name="AZULSINAL_2">#REF!</definedName>
    <definedName name="AZULSINAL_4">#REF!</definedName>
    <definedName name="azulsinall">#REF!</definedName>
    <definedName name="B" localSheetId="1" hidden="1">{#N/A,#N/A,FALSE,"MO (2)"}</definedName>
    <definedName name="B">{#N/A,#N/A,FALSE,"MO (2)"}</definedName>
    <definedName name="b_10" localSheetId="1">#REF!</definedName>
    <definedName name="b_10">#REF!</definedName>
    <definedName name="b_11">#REF!</definedName>
    <definedName name="b_12">#REF!</definedName>
    <definedName name="b_13">#REF!</definedName>
    <definedName name="b_14">#REF!</definedName>
    <definedName name="b_15">#REF!</definedName>
    <definedName name="b_16">#REF!</definedName>
    <definedName name="b_17">#REF!</definedName>
    <definedName name="b_18">#REF!</definedName>
    <definedName name="b_2">#REF!</definedName>
    <definedName name="b_8">#REF!</definedName>
    <definedName name="b_9">#REF!</definedName>
    <definedName name="B_MEC">#REF!</definedName>
    <definedName name="BACIA_3" localSheetId="1">#REF!</definedName>
    <definedName name="BACIA_3">#REF!</definedName>
    <definedName name="bacia15" localSheetId="1">#REF!</definedName>
    <definedName name="bacia15">#REF!</definedName>
    <definedName name="bacia16" localSheetId="1">#REF!</definedName>
    <definedName name="bacia16">#REF!</definedName>
    <definedName name="BACIA160" localSheetId="1">#REF!</definedName>
    <definedName name="BACIA160">#REF!</definedName>
    <definedName name="BACIA17" localSheetId="1">#REF!</definedName>
    <definedName name="BACIA17">#REF!</definedName>
    <definedName name="BAE">#REF!</definedName>
    <definedName name="BAIANO" localSheetId="1">#REF!</definedName>
    <definedName name="BAIANO">#REF!</definedName>
    <definedName name="Banco_dados_IM" localSheetId="1">#REF!</definedName>
    <definedName name="Banco_dados_IM">#REF!</definedName>
    <definedName name="Banco_dados_IM2" localSheetId="1">#REF!</definedName>
    <definedName name="Banco_dados_IM2">#REF!</definedName>
    <definedName name="_xlnm.Database">#REF!</definedName>
    <definedName name="Banco_de_dadoss">#REF!</definedName>
    <definedName name="banco2">#REF!</definedName>
    <definedName name="banco2_19">#REF!</definedName>
    <definedName name="bar">#REF!</definedName>
    <definedName name="bar_10">#REF!</definedName>
    <definedName name="bar_11">#REF!</definedName>
    <definedName name="bar_12">#REF!</definedName>
    <definedName name="bar_13">#REF!</definedName>
    <definedName name="bar_14">#REF!</definedName>
    <definedName name="bar_15">#REF!</definedName>
    <definedName name="bar_16">#REF!</definedName>
    <definedName name="bar_17">#REF!</definedName>
    <definedName name="bar_18">#REF!</definedName>
    <definedName name="bar_2">#REF!</definedName>
    <definedName name="bar_5">#REF!</definedName>
    <definedName name="bar_6">#REF!</definedName>
    <definedName name="bar_7">#REF!</definedName>
    <definedName name="bar_8">#REF!</definedName>
    <definedName name="bar_9">#REF!</definedName>
    <definedName name="BASE">#REF!</definedName>
    <definedName name="bau" localSheetId="1" hidden="1">#REF!</definedName>
    <definedName name="bau">#REF!</definedName>
    <definedName name="BB" localSheetId="1">#REF!</definedName>
    <definedName name="BB">#REF!</definedName>
    <definedName name="bb_38">#REF!</definedName>
    <definedName name="BBB" localSheetId="1">#REF!</definedName>
    <definedName name="BBB">#REF!</definedName>
    <definedName name="BBBB" localSheetId="1">[0]!BBBB</definedName>
    <definedName name="BBBB">#N/A</definedName>
    <definedName name="bbbbbb" localSheetId="1">#REF!</definedName>
    <definedName name="bbbbbb">#REF!</definedName>
    <definedName name="BD">#REF!</definedName>
    <definedName name="BDD_01">#REF!</definedName>
    <definedName name="bdgfsb" localSheetId="1">#REF!</definedName>
    <definedName name="bdgfsb">#REF!</definedName>
    <definedName name="BDI" localSheetId="1">#REF!</definedName>
    <definedName name="BDI">#REF!</definedName>
    <definedName name="BDI." localSheetId="1">#REF!</definedName>
    <definedName name="BDI.">#REF!</definedName>
    <definedName name="BDI_10">#REF!</definedName>
    <definedName name="BDI_11">#REF!</definedName>
    <definedName name="BDI_12">#REF!</definedName>
    <definedName name="BDI_13">#REF!</definedName>
    <definedName name="BDI_14">#REF!</definedName>
    <definedName name="BDI_15">#REF!</definedName>
    <definedName name="BDI_16">#REF!</definedName>
    <definedName name="BDI_17">#REF!</definedName>
    <definedName name="BDI_18">#REF!</definedName>
    <definedName name="BDI_2">#REF!</definedName>
    <definedName name="BDI_3">#REF!</definedName>
    <definedName name="BDI_4">#REF!</definedName>
    <definedName name="BDI_5">#REF!</definedName>
    <definedName name="BDI_6">#REF!</definedName>
    <definedName name="BDI_7">#REF!</definedName>
    <definedName name="BDI_8">#REF!</definedName>
    <definedName name="BDI_9">#REF!</definedName>
    <definedName name="BDI_DIF">#REF!</definedName>
    <definedName name="BDIc" localSheetId="1">#REF!</definedName>
    <definedName name="BDIc">#REF!</definedName>
    <definedName name="BDIf" localSheetId="1">#REF!</definedName>
    <definedName name="BDIf">#REF!</definedName>
    <definedName name="BDIM">#REF!</definedName>
    <definedName name="BDIS">#REF!</definedName>
    <definedName name="BDU">#REF!</definedName>
    <definedName name="bebado">#REF!</definedName>
    <definedName name="BG" localSheetId="1">#REF!</definedName>
    <definedName name="BG">#REF!</definedName>
    <definedName name="BG_2">#REF!</definedName>
    <definedName name="BG_4">#REF!</definedName>
    <definedName name="bgbg">#REF!</definedName>
    <definedName name="bgg">#REF!</definedName>
    <definedName name="bgh">#REF!</definedName>
    <definedName name="Bgraduada">#REF!</definedName>
    <definedName name="BGU" localSheetId="1">#REF!</definedName>
    <definedName name="BGU">#REF!</definedName>
    <definedName name="BGU_2">#REF!</definedName>
    <definedName name="BGU_4">#REF!</definedName>
    <definedName name="BGUU">#REF!</definedName>
    <definedName name="BIO">#REF!</definedName>
    <definedName name="BL_ANC_EMISS3_S" localSheetId="1">#REF!</definedName>
    <definedName name="BL_ANC_EMISS3_S">#REF!</definedName>
    <definedName name="BL_ANCO_EMISS2" localSheetId="1">#REF!</definedName>
    <definedName name="BL_ANCO_EMISS2">#REF!</definedName>
    <definedName name="BLOCO">#REF!</definedName>
    <definedName name="BLOCO_ANCOR_EMISS" localSheetId="1">#REF!</definedName>
    <definedName name="BLOCO_ANCOR_EMISS">#REF!</definedName>
    <definedName name="Bloco2">#REF!</definedName>
    <definedName name="BLOCOS">#REF!</definedName>
    <definedName name="Bomba_putzmeister" localSheetId="1">#REF!</definedName>
    <definedName name="Bomba_putzmeister">#REF!</definedName>
    <definedName name="bonificação">#REF!</definedName>
    <definedName name="bonificaçãoo">#REF!</definedName>
    <definedName name="bosta" localSheetId="1" hidden="1">{#N/A,#N/A,FALSE,"Cronograma";#N/A,#N/A,FALSE,"Cronogr. 2"}</definedName>
    <definedName name="bosta">{#N/A,#N/A,FALSE,"Cronograma";#N/A,#N/A,FALSE,"Cronogr. 2"}</definedName>
    <definedName name="BRIOPA" localSheetId="1">#REF!</definedName>
    <definedName name="BRIOPA">#REF!</definedName>
    <definedName name="BRIT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uno" localSheetId="1">#REF!</definedName>
    <definedName name="bruno">#REF!</definedName>
    <definedName name="bsdbsd" localSheetId="1">#REF!</definedName>
    <definedName name="bsdbsd">#REF!</definedName>
    <definedName name="bsdbsgfdzb" localSheetId="1">#REF!</definedName>
    <definedName name="bsdbsgfdzb">#REF!</definedName>
    <definedName name="bsgfdbsgfdb" localSheetId="1">#REF!</definedName>
    <definedName name="bsgfdbsgfdb">#REF!</definedName>
    <definedName name="BU">#REF!</definedName>
    <definedName name="buc3eta" localSheetId="1">#REF!</definedName>
    <definedName name="buc3eta">#REF!</definedName>
    <definedName name="bueirodetalhado">#REF!</definedName>
    <definedName name="BuiltIn_AutoFilter___2" localSheetId="1">#REF!</definedName>
    <definedName name="BuiltIn_AutoFilter___2">#REF!</definedName>
    <definedName name="BuiltIn_AutoFilter___2_1">#REF!</definedName>
    <definedName name="BuiltIn_AutoFilter___2_2">#REF!</definedName>
    <definedName name="BuiltIn_AutoFilter___2_3">#REF!</definedName>
    <definedName name="BuiltIn_AutoFilter___2_4">#REF!</definedName>
    <definedName name="BuiltIn_AutoFilter___2_5">#REF!</definedName>
    <definedName name="BuiltIn_AutoFilter___2_6">#REF!</definedName>
    <definedName name="BuiltIn_AutoFilter___2_7">#REF!</definedName>
    <definedName name="BuiltIn_AutoFilter___2_8">#REF!</definedName>
    <definedName name="BuiltIn_AutoFilter___2_9">#REF!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BuiltIn_Print_Area___0___0___0___0" localSheetId="1">#REF!</definedName>
    <definedName name="BuiltIn_Print_Area___0___0___0___0">#REF!</definedName>
    <definedName name="BuiltIn_Print_Area___0___0___0___0___0" localSheetId="1">#REF!</definedName>
    <definedName name="BuiltIn_Print_Area___0___0___0___0___0">#REF!</definedName>
    <definedName name="BuiltIn_Print_Area___0___0___0___0___0___0" localSheetId="1">#REF!</definedName>
    <definedName name="BuiltIn_Print_Area___0___0___0___0___0___0">#REF!</definedName>
    <definedName name="BuiltIn_Print_Area_2">#REF!</definedName>
    <definedName name="BuiltIn_Print_Area_4">#REF!</definedName>
    <definedName name="BuiltIn_Print_Titles" localSheetId="1">#REF!</definedName>
    <definedName name="BuiltIn_Print_Titles">#REF!</definedName>
    <definedName name="BuiltIn_Print_Titles___0" localSheetId="1">#REF!</definedName>
    <definedName name="BuiltIn_Print_Titles___0">#REF!</definedName>
    <definedName name="BuiltIn_Print_Titles___0___0___0" localSheetId="1">#REF!</definedName>
    <definedName name="BuiltIn_Print_Titles___0___0___0">#REF!</definedName>
    <definedName name="BuiltIn_Print_Titles___0___0___0___0" localSheetId="1">#REF!</definedName>
    <definedName name="BuiltIn_Print_Titles___0___0___0___0">#REF!</definedName>
    <definedName name="BuiltIn_Print_Titles___0___0___0___0___0___0" localSheetId="1">#REF!</definedName>
    <definedName name="BuiltIn_Print_Titles___0___0___0___0___0___0">#REF!</definedName>
    <definedName name="BV">#REF!</definedName>
    <definedName name="BVEOLISA" localSheetId="1">#REF!</definedName>
    <definedName name="BVEOLISA">#REF!</definedName>
    <definedName name="C_">#REF!</definedName>
    <definedName name="C_CUSTO">#REF!</definedName>
    <definedName name="C_Univ">#REF!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ab_cortes" localSheetId="1">#REF!</definedName>
    <definedName name="cab_cortes">#REF!</definedName>
    <definedName name="cab_dmt" localSheetId="1">#REF!</definedName>
    <definedName name="cab_dmt">#REF!</definedName>
    <definedName name="cab_limpeza" localSheetId="1">#REF!</definedName>
    <definedName name="cab_limpeza">#REF!</definedName>
    <definedName name="CABEÇA">#REF!</definedName>
    <definedName name="cabmeio" localSheetId="1">#REF!</definedName>
    <definedName name="cabmeio">#REF!</definedName>
    <definedName name="CABO">#REF!</definedName>
    <definedName name="CAD_EMISS3_S" localSheetId="1">#REF!</definedName>
    <definedName name="CAD_EMISS3_S">#REF!</definedName>
    <definedName name="CADASTRO" localSheetId="1">#REF!</definedName>
    <definedName name="CADASTRO">#REF!</definedName>
    <definedName name="Cadastro_2">#REF!</definedName>
    <definedName name="CADASTRO_EMISS" localSheetId="1">#REF!</definedName>
    <definedName name="CADASTRO_EMISS">#REF!</definedName>
    <definedName name="CADASTRO_EMISS2" localSheetId="1">#REF!</definedName>
    <definedName name="CADASTRO_EMISS2">#REF!</definedName>
    <definedName name="CADASTRO_REDE_COL" localSheetId="1">#REF!</definedName>
    <definedName name="CADASTRO_REDE_COL">#REF!</definedName>
    <definedName name="Cadastro_Veículos">#REF!</definedName>
    <definedName name="CadIns">#REF!</definedName>
    <definedName name="cadm">#REF!</definedName>
    <definedName name="CadSrv">#REF!</definedName>
    <definedName name="CAI">#REF!</definedName>
    <definedName name="CAIX">#REF!</definedName>
    <definedName name="CAIXAS" localSheetId="1">#REF!</definedName>
    <definedName name="CAIXAS">#REF!</definedName>
    <definedName name="CAIXAS_EMISS3_S" localSheetId="1">#REF!</definedName>
    <definedName name="CAIXAS_EMISS3_S">#REF!</definedName>
    <definedName name="calculo">#REF!</definedName>
    <definedName name="Camada_brita" localSheetId="1">#REF!</definedName>
    <definedName name="Camada_brita">#REF!</definedName>
    <definedName name="Camada_impermeabilizadora" localSheetId="1">#REF!</definedName>
    <definedName name="Camada_impermeabilizadora">#REF!</definedName>
    <definedName name="CAMI">#REF!</definedName>
    <definedName name="CAMINHÃO_PIPA">#REF!</definedName>
    <definedName name="CAMPANARIO" localSheetId="1">'[15]utr 2'!#REF!</definedName>
    <definedName name="CAMPANARIO">'[15]utr 2'!#REF!</definedName>
    <definedName name="CANETA" localSheetId="1">#REF!</definedName>
    <definedName name="CANETA">#REF!</definedName>
    <definedName name="CANTEIRO_DE_OBRAS">[16]CANT_OBRAS!$H$8</definedName>
    <definedName name="CANTEIRO_OBRAS" localSheetId="1">#REF!</definedName>
    <definedName name="CANTEIRO_OBRAS">#REF!</definedName>
    <definedName name="CAP">#REF!</definedName>
    <definedName name="CAP20W">#REF!</definedName>
    <definedName name="CAP20WA">#REF!</definedName>
    <definedName name="CAPA" localSheetId="1">[1]reforma!#REF!</definedName>
    <definedName name="CAPA">[1]reforma!#REF!</definedName>
    <definedName name="capa1" localSheetId="1">#REF!</definedName>
    <definedName name="capa1">#REF!</definedName>
    <definedName name="capa11">#REF!</definedName>
    <definedName name="capa2">#REF!</definedName>
    <definedName name="CAPÁ2">#REF!</definedName>
    <definedName name="capa22">#REF!</definedName>
    <definedName name="CAPAA">#REF!</definedName>
    <definedName name="CAPTOTAL">#REF!</definedName>
    <definedName name="carlos">#REF!</definedName>
    <definedName name="CARRETEIRO">#REF!</definedName>
    <definedName name="CAS">#REF!</definedName>
    <definedName name="CASH_FLOW">#REF!</definedName>
    <definedName name="cbn" localSheetId="1">[1]reforma!#REF!</definedName>
    <definedName name="cbn">[1]reforma!#REF!</definedName>
    <definedName name="CBU" localSheetId="1">#REF!</definedName>
    <definedName name="CBU">#REF!</definedName>
    <definedName name="CBU_2" localSheetId="1">#REF!</definedName>
    <definedName name="CBU_2">#REF!</definedName>
    <definedName name="CBU_4">#REF!</definedName>
    <definedName name="CBUII" localSheetId="1">#REF!</definedName>
    <definedName name="CBUII">#REF!</definedName>
    <definedName name="CBUII_2">#REF!</definedName>
    <definedName name="CBUII_4">#REF!</definedName>
    <definedName name="CBUIII">#REF!</definedName>
    <definedName name="cbuq">#REF!</definedName>
    <definedName name="CBUQ_2">#REF!</definedName>
    <definedName name="CBUQ_H3">#REF!</definedName>
    <definedName name="CBUQ_H3_2">#REF!</definedName>
    <definedName name="CBUQB" localSheetId="1">#REF!</definedName>
    <definedName name="CBUQB">#REF!</definedName>
    <definedName name="CBUQB_2">#REF!</definedName>
    <definedName name="CBUQB_4">#REF!</definedName>
    <definedName name="CBUQBB">#REF!</definedName>
    <definedName name="CBUQc" localSheetId="1">#REF!</definedName>
    <definedName name="CBUQc">#REF!</definedName>
    <definedName name="CBUQc_2">#REF!</definedName>
    <definedName name="CBUQc_4">#REF!</definedName>
    <definedName name="CBUQcc">#REF!</definedName>
    <definedName name="CBUU">#REF!</definedName>
    <definedName name="CC" localSheetId="1">#REF!</definedName>
    <definedName name="CC">#REF!</definedName>
    <definedName name="çç">#REF!</definedName>
    <definedName name="CC.102">#REF!</definedName>
    <definedName name="cc.113">#REF!</definedName>
    <definedName name="cc.113a">#REF!</definedName>
    <definedName name="cc.114">#REF!</definedName>
    <definedName name="CC.153">#REF!</definedName>
    <definedName name="CC.153T">#REF!</definedName>
    <definedName name="CC.154">#REF!</definedName>
    <definedName name="CC.166">#REF!</definedName>
    <definedName name="CC.170">#REF!</definedName>
    <definedName name="CC.198">#REF!</definedName>
    <definedName name="cc.211">#REF!</definedName>
    <definedName name="CC.247">#REF!</definedName>
    <definedName name="CC.267">#REF!</definedName>
    <definedName name="CC.272">#REF!</definedName>
    <definedName name="çç_30">#REF!</definedName>
    <definedName name="çç_38">#REF!</definedName>
    <definedName name="CC709_10">#REF!</definedName>
    <definedName name="CC709_11">#REF!</definedName>
    <definedName name="CC709_12">#REF!</definedName>
    <definedName name="CC709_13">#REF!</definedName>
    <definedName name="CC709_14">#REF!</definedName>
    <definedName name="CC709_15">#REF!</definedName>
    <definedName name="CC709_16">#REF!</definedName>
    <definedName name="CC709_17">#REF!</definedName>
    <definedName name="CC709_18">#REF!</definedName>
    <definedName name="CC709_2">#REF!</definedName>
    <definedName name="CC709_5">#REF!</definedName>
    <definedName name="CC709_6">#REF!</definedName>
    <definedName name="CC709_7">#REF!</definedName>
    <definedName name="CC709_8">#REF!</definedName>
    <definedName name="CC709_9">#REF!</definedName>
    <definedName name="CCARR">#REF!</definedName>
    <definedName name="CCC" localSheetId="1">#REF!</definedName>
    <definedName name="CCC">#REF!</definedName>
    <definedName name="CCCCCCC">#REF!</definedName>
    <definedName name="CCCCCCCC">#REF!</definedName>
    <definedName name="cch">#REF!</definedName>
    <definedName name="CCM">#REF!</definedName>
    <definedName name="CCP">#REF!</definedName>
    <definedName name="CCPW">#REF!</definedName>
    <definedName name="CCPWA">#REF!</definedName>
    <definedName name="CD">#REF!</definedName>
    <definedName name="CD110PI">#REF!</definedName>
    <definedName name="CD110PI_2">#REF!</definedName>
    <definedName name="CD110R">#REF!</definedName>
    <definedName name="CD110R_2">#REF!</definedName>
    <definedName name="CD316PI">#REF!</definedName>
    <definedName name="CD316PI_2">#REF!</definedName>
    <definedName name="CD316R">#REF!</definedName>
    <definedName name="CD316R_2">#REF!</definedName>
    <definedName name="CD97A">#REF!</definedName>
    <definedName name="CD97AW">#REF!</definedName>
    <definedName name="CDF">#REF!</definedName>
    <definedName name="cdfersfs">#REF!</definedName>
    <definedName name="CDP">#REF!</definedName>
    <definedName name="CDPP">#REF!</definedName>
    <definedName name="CDT">#REF!</definedName>
    <definedName name="CDW">#REF!</definedName>
    <definedName name="CDWA">#REF!</definedName>
    <definedName name="CELIA" localSheetId="1">#REF!</definedName>
    <definedName name="CELIA">#REF!</definedName>
    <definedName name="CélulaInicioPlanilha" localSheetId="1">#REF!</definedName>
    <definedName name="CélulaInicioPlanilha">#REF!</definedName>
    <definedName name="CélulaResumo" localSheetId="1">#REF!</definedName>
    <definedName name="CélulaResumo">#REF!</definedName>
    <definedName name="CEOP">#REF!</definedName>
    <definedName name="CERTVRTVBT">#REF!</definedName>
    <definedName name="CERTVRTVRBVTT">#REF!</definedName>
    <definedName name="CEU" localSheetId="1" hidden="1">#REF!</definedName>
    <definedName name="CEU">#REF!</definedName>
    <definedName name="cfde">#REF!</definedName>
    <definedName name="CGF">#REF!</definedName>
    <definedName name="cghvhn">#REF!</definedName>
    <definedName name="Chapisco" localSheetId="1">#REF!</definedName>
    <definedName name="Chapisco">#REF!</definedName>
    <definedName name="Chave">#REF!</definedName>
    <definedName name="Chave1">#REF!</definedName>
    <definedName name="CIA_AEREA">#REF!</definedName>
    <definedName name="CIFixa">#REF!</definedName>
    <definedName name="cimento" localSheetId="1">#REF!</definedName>
    <definedName name="cimento">#REF!</definedName>
    <definedName name="citotal">#REF!</definedName>
    <definedName name="CIvar">#REF!</definedName>
    <definedName name="Clas">#REF!</definedName>
    <definedName name="Cliente">#REF!</definedName>
    <definedName name="Cls">#REF!</definedName>
    <definedName name="CM">#REF!</definedName>
    <definedName name="CM30W">#REF!</definedName>
    <definedName name="CM30WA">#REF!</definedName>
    <definedName name="Cmat" localSheetId="1">#REF!</definedName>
    <definedName name="Cmat">#REF!</definedName>
    <definedName name="CMN">#REF!</definedName>
    <definedName name="Cmo" localSheetId="1">#REF!</definedName>
    <definedName name="Cmo">#REF!</definedName>
    <definedName name="CMTOTAL">#REF!</definedName>
    <definedName name="CMW">#REF!</definedName>
    <definedName name="CMWA">#REF!</definedName>
    <definedName name="cnufvtgfdc">#REF!</definedName>
    <definedName name="CNVDFNVN" localSheetId="1">#REF!</definedName>
    <definedName name="CNVDFNVN">#REF!</definedName>
    <definedName name="co">#REF!</definedName>
    <definedName name="Cobertura" localSheetId="1">#REF!</definedName>
    <definedName name="Cobertura">#REF!</definedName>
    <definedName name="Cobertura_canal" localSheetId="1">#REF!</definedName>
    <definedName name="Cobertura_canal">#REF!</definedName>
    <definedName name="cocacola" localSheetId="1">#REF!</definedName>
    <definedName name="cocacola">#REF!</definedName>
    <definedName name="cocaina" localSheetId="1">#REF!</definedName>
    <definedName name="cocaina">#REF!</definedName>
    <definedName name="Cod">#REF!</definedName>
    <definedName name="cod.1">#REF!</definedName>
    <definedName name="cod.2">#REF!</definedName>
    <definedName name="Cód.3">#REF!</definedName>
    <definedName name="Cód.Equip.">#REF!</definedName>
    <definedName name="Cod.Modal">#REF!</definedName>
    <definedName name="Cód.serv.">#REF!</definedName>
    <definedName name="Codigo">#REF!</definedName>
    <definedName name="Código" localSheetId="1">#REF!</definedName>
    <definedName name="Código">#REF!</definedName>
    <definedName name="Código." localSheetId="1">#REF!</definedName>
    <definedName name="Código.">#REF!</definedName>
    <definedName name="CodModal">#REF!</definedName>
    <definedName name="COEF">#REF!</definedName>
    <definedName name="COEF_LINEAR" localSheetId="1">#REF!</definedName>
    <definedName name="COEF_LINEAR">#REF!</definedName>
    <definedName name="Col">#REF!</definedName>
    <definedName name="coluna">#REF!</definedName>
    <definedName name="com">#REF!</definedName>
    <definedName name="COMBUSTIVEL">#REF!</definedName>
    <definedName name="COMBUSTIVEL_10">#REF!</definedName>
    <definedName name="COMBUSTIVEL_11">#REF!</definedName>
    <definedName name="COMBUSTIVEL_12">#REF!</definedName>
    <definedName name="COMBUSTIVEL_13">#REF!</definedName>
    <definedName name="COMBUSTIVEL_14">#REF!</definedName>
    <definedName name="COMBUSTIVEL_15">#REF!</definedName>
    <definedName name="COMBUSTIVEL_16">#REF!</definedName>
    <definedName name="COMBUSTIVEL_17">#REF!</definedName>
    <definedName name="COMBUSTIVEL_18">#REF!</definedName>
    <definedName name="COMBUSTIVEL_2">#REF!</definedName>
    <definedName name="COMBUSTIVEL_5">#REF!</definedName>
    <definedName name="COMBUSTIVEL_6">#REF!</definedName>
    <definedName name="COMBUSTIVEL_7">#REF!</definedName>
    <definedName name="COMBUSTIVEL_8">#REF!</definedName>
    <definedName name="COMBUSTIVEL_9">#REF!</definedName>
    <definedName name="COMBUSTIVEL1">#REF!</definedName>
    <definedName name="COMBUSTIVEL1_10">#REF!</definedName>
    <definedName name="COMBUSTIVEL1_11">#REF!</definedName>
    <definedName name="COMBUSTIVEL1_12">#REF!</definedName>
    <definedName name="COMBUSTIVEL1_13">#REF!</definedName>
    <definedName name="COMBUSTIVEL1_14">#REF!</definedName>
    <definedName name="COMBUSTIVEL1_15">#REF!</definedName>
    <definedName name="COMBUSTIVEL1_16">#REF!</definedName>
    <definedName name="COMBUSTIVEL1_17">#REF!</definedName>
    <definedName name="COMBUSTIVEL1_18">#REF!</definedName>
    <definedName name="COMBUSTIVEL1_2">#REF!</definedName>
    <definedName name="COMBUSTIVEL1_5">#REF!</definedName>
    <definedName name="COMBUSTIVEL1_6">#REF!</definedName>
    <definedName name="COMBUSTIVEL1_7">#REF!</definedName>
    <definedName name="COMBUSTIVEL1_8">#REF!</definedName>
    <definedName name="COMBUSTIVEL1_9">#REF!</definedName>
    <definedName name="Comp">#REF!</definedName>
    <definedName name="Comp_Área_Vol._2">#REF!</definedName>
    <definedName name="COMP034">#REF!</definedName>
    <definedName name="Comparativo" localSheetId="1">#REF!</definedName>
    <definedName name="Comparativo">#REF!</definedName>
    <definedName name="compeqp">#REF!</definedName>
    <definedName name="cOMPOSIÇaO" localSheetId="1" hidden="1">#REF!</definedName>
    <definedName name="cOMPOSIÇaO">#REF!</definedName>
    <definedName name="COMPOSICAORIP">#REF!</definedName>
    <definedName name="composições" localSheetId="1">#REF!</definedName>
    <definedName name="composições">#REF!</definedName>
    <definedName name="COMS">#REF!</definedName>
    <definedName name="CON">#REF!</definedName>
    <definedName name="CONA">#REF!</definedName>
    <definedName name="CONC_EMI_19">#REF!</definedName>
    <definedName name="CONCATENAR">#REF!</definedName>
    <definedName name="concorrentes" localSheetId="1" hidden="1">{#N/A,#N/A,FALSE,"Cronograma";#N/A,#N/A,FALSE,"Cronogr. 2"}</definedName>
    <definedName name="concorrentes">{#N/A,#N/A,FALSE,"Cronograma";#N/A,#N/A,FALSE,"Cronogr. 2"}</definedName>
    <definedName name="COND" localSheetId="1">#REF!</definedName>
    <definedName name="COND">#REF!</definedName>
    <definedName name="CONDUTORES">#REF!</definedName>
    <definedName name="CONE">#REF!</definedName>
    <definedName name="Cons">#REF!</definedName>
    <definedName name="CONS1">#REF!</definedName>
    <definedName name="CONSUMO">#REF!</definedName>
    <definedName name="consumo.2">#REF!</definedName>
    <definedName name="CONSUMO_10">#REF!</definedName>
    <definedName name="CONSUMO_11">#REF!</definedName>
    <definedName name="CONSUMO_12">#REF!</definedName>
    <definedName name="CONSUMO_13">#REF!</definedName>
    <definedName name="CONSUMO_14">#REF!</definedName>
    <definedName name="CONSUMO_15">#REF!</definedName>
    <definedName name="CONSUMO_16">#REF!</definedName>
    <definedName name="CONSUMO_17">#REF!</definedName>
    <definedName name="CONSUMO_18">#REF!</definedName>
    <definedName name="CONSUMO_2">#REF!</definedName>
    <definedName name="CONSUMO_5">#REF!</definedName>
    <definedName name="CONSUMO_9">#REF!</definedName>
    <definedName name="consumo2">#REF!</definedName>
    <definedName name="Consumodemateriais">#REF!</definedName>
    <definedName name="Consumodemateriais___0">#REF!</definedName>
    <definedName name="Consumodemateriais_11">#REF!</definedName>
    <definedName name="Consumodemateriais_15">#REF!</definedName>
    <definedName name="Consumodemateriais_16">#REF!</definedName>
    <definedName name="Consumodemateriais_17">#REF!</definedName>
    <definedName name="Consumodemateriais_18">#REF!</definedName>
    <definedName name="Consumodemateriais_6">#REF!</definedName>
    <definedName name="Consumodemateriais_9">#REF!</definedName>
    <definedName name="CONT">#REF!</definedName>
    <definedName name="CONT_CANTEIRO" localSheetId="1">#REF!</definedName>
    <definedName name="CONT_CANTEIRO">#REF!</definedName>
    <definedName name="CONTA">#REF!</definedName>
    <definedName name="cópia" localSheetId="1">#REF!</definedName>
    <definedName name="cópia">#REF!</definedName>
    <definedName name="COR">#REF!</definedName>
    <definedName name="corte" localSheetId="1">#REF!</definedName>
    <definedName name="corte">#REF!</definedName>
    <definedName name="COTAÇÃO">#REF!</definedName>
    <definedName name="COTAS" localSheetId="1">#REF!</definedName>
    <definedName name="COTAS">#REF!</definedName>
    <definedName name="CPAV">#REF!</definedName>
    <definedName name="CpuAux">#REF!</definedName>
    <definedName name="CPUBET">#REF!</definedName>
    <definedName name="CPUOAC">#REF!</definedName>
    <definedName name="CPUOAE">#REF!</definedName>
    <definedName name="CPUPAV">#REF!</definedName>
    <definedName name="CPUs">#REF!</definedName>
    <definedName name="CPUSERCOMPL">#REF!</definedName>
    <definedName name="CPUSIN">#REF!</definedName>
    <definedName name="CPUTER">#REF!</definedName>
    <definedName name="CPUVEIC">#REF!</definedName>
    <definedName name="creaFiscal" localSheetId="1">[10]DADOS!$C$23</definedName>
    <definedName name="creaFiscal">[11]DADOS!$C$23</definedName>
    <definedName name="creaPLE" localSheetId="1">[10]DADOS!$C$20</definedName>
    <definedName name="creaPLE">[11]DADOS!$C$20</definedName>
    <definedName name="CRETBVTYBT" localSheetId="1">#REF!</definedName>
    <definedName name="CRETBVTYBT">#REF!</definedName>
    <definedName name="CRETRBRTTR">#REF!</definedName>
    <definedName name="CRETRBVTBR">#REF!</definedName>
    <definedName name="CRI">#REF!</definedName>
    <definedName name="CRIT">#REF!</definedName>
    <definedName name="_xlnm.Criteria" localSheetId="1">#REF!</definedName>
    <definedName name="_xlnm.Criteria">#REF!</definedName>
    <definedName name="Cron" localSheetId="1" hidden="1">#REF!</definedName>
    <definedName name="Cron">#REF!</definedName>
    <definedName name="cron." localSheetId="1" hidden="1">#REF!</definedName>
    <definedName name="cron.">#REF!</definedName>
    <definedName name="crono" localSheetId="1">#REF!</definedName>
    <definedName name="crono">#REF!</definedName>
    <definedName name="CRONO.MaxParc">#REF!</definedName>
    <definedName name="Cronograma" localSheetId="1">[10]Cronograma!$B$37:$BB$42</definedName>
    <definedName name="Cronograma">[11]Cronograma!$B$37:$BB$42</definedName>
    <definedName name="Cronograma.MesesQuadro" localSheetId="1">COUNTA(OFFSET(Memória!Cronograma,0,0,,1))*4</definedName>
    <definedName name="Cronograma.MesesQuadro">COUNTA(OFFSET(Cronograma,0,0,,1))*4</definedName>
    <definedName name="Cronograma.NumPeríodos" localSheetId="1">MAX([0]!Cronograma.Períodos)</definedName>
    <definedName name="Cronograma.NumPeríodos">MAX(Cronograma.Períodos)</definedName>
    <definedName name="Cronograma.Períodos" localSheetId="1">OFFSET([10]Cronograma!$E$33,1,0):OFFSET([10]Cronograma!$BB$37,-1,0)</definedName>
    <definedName name="Cronograma.Períodos">OFFSET([11]Cronograma!$E$33,1,0):OFFSET([11]Cronograma!$BB$37,-1,0)</definedName>
    <definedName name="CronoPrev" localSheetId="1">OFFSET([10]CronoPrev!$B$13,1,0):OFFSET([10]CronoPrev!$G$26,-1,0)</definedName>
    <definedName name="CronoPrev">OFFSET([11]CronoPrev!$B$13,1,0):OFFSET([11]CronoPrev!$G$26,-1,0)</definedName>
    <definedName name="Croquiiii" localSheetId="1">#REF!</definedName>
    <definedName name="Croquiiii">#REF!</definedName>
    <definedName name="Croquiiii_38">#REF!</definedName>
    <definedName name="CRTBRBTY">#REF!</definedName>
    <definedName name="CRTBRTBTY">#REF!</definedName>
    <definedName name="CRTBRTBYT">#REF!</definedName>
    <definedName name="CRTBRTCTRVT">#REF!</definedName>
    <definedName name="CRTRBTBYTRFCR">#REF!</definedName>
    <definedName name="CRTRBTR">#REF!</definedName>
    <definedName name="CRTRBYTY">#REF!</definedName>
    <definedName name="CRTVCR">#REF!</definedName>
    <definedName name="CRTVRVTRTBRTB">#REF!</definedName>
    <definedName name="CRVBRBGT">#REF!</definedName>
    <definedName name="cs_2">#REF!</definedName>
    <definedName name="CS110PI">#REF!</definedName>
    <definedName name="CS110PI_2">#REF!</definedName>
    <definedName name="CS110R">#REF!</definedName>
    <definedName name="CS110R_2">#REF!</definedName>
    <definedName name="CS316PI">#REF!</definedName>
    <definedName name="CS316PI_2">#REF!</definedName>
    <definedName name="CS316R">#REF!</definedName>
    <definedName name="CS316R_2">#REF!</definedName>
    <definedName name="CS423PI">#REF!</definedName>
    <definedName name="CS423PI_2">#REF!</definedName>
    <definedName name="CS423R">#REF!</definedName>
    <definedName name="CS423R_2">#REF!</definedName>
    <definedName name="CSA">#REF!</definedName>
    <definedName name="CST">#REF!</definedName>
    <definedName name="CSV">#REF!</definedName>
    <definedName name="CT" localSheetId="1">#REF!</definedName>
    <definedName name="CT">#REF!</definedName>
    <definedName name="ctrvbyb">#REF!</definedName>
    <definedName name="CU" localSheetId="1">#REF!</definedName>
    <definedName name="CU">#REF!</definedName>
    <definedName name="CUN">#REF!</definedName>
    <definedName name="CunEq">#REF!</definedName>
    <definedName name="CunMo">#REF!</definedName>
    <definedName name="CunMp">#REF!</definedName>
    <definedName name="CURRENCY">#REF!</definedName>
    <definedName name="CURRENCYY">#REF!</definedName>
    <definedName name="CURVA">#REF!</definedName>
    <definedName name="custo">#REF!</definedName>
    <definedName name="CUSTO_10">#REF!</definedName>
    <definedName name="CUSTO_10_19">#REF!</definedName>
    <definedName name="CUSTO_17">#REF!</definedName>
    <definedName name="CUSTO_17_19">#REF!</definedName>
    <definedName name="CUSTO_19">#REF!</definedName>
    <definedName name="CUSTO_6">#REF!</definedName>
    <definedName name="CUSTO_6_19">#REF!</definedName>
    <definedName name="CUSTO_7">#REF!</definedName>
    <definedName name="CUSTO_7_19">#REF!</definedName>
    <definedName name="CUSTO_8">#REF!</definedName>
    <definedName name="CUSTO_8_19">#REF!</definedName>
    <definedName name="CUSTO_9">#REF!</definedName>
    <definedName name="CUSTO_9_19">#REF!</definedName>
    <definedName name="CUSTO_DE_COMBUSTÍVEL_E_LUFRIFICANTES">#REF!</definedName>
    <definedName name="Custo_parcial">#REF!</definedName>
    <definedName name="Custo_parcial_2">#REF!</definedName>
    <definedName name="CUSTODIRETO">#REF!</definedName>
    <definedName name="CUSTOFIN">#REF!</definedName>
    <definedName name="CUSTOINDIRETO">#REF!</definedName>
    <definedName name="custoo">#REF!</definedName>
    <definedName name="CustoReal" localSheetId="1">#REF!</definedName>
    <definedName name="CustoReal">#REF!</definedName>
    <definedName name="cUSTOS" localSheetId="1">#REF!</definedName>
    <definedName name="cUSTOS">#REF!</definedName>
    <definedName name="CVDF">#REF!</definedName>
    <definedName name="cvdfdfd">#REF!</definedName>
    <definedName name="CXRH">#REF!</definedName>
    <definedName name="D" localSheetId="1">#REF!</definedName>
    <definedName name="D">#REF!</definedName>
    <definedName name="d_4">#REF!</definedName>
    <definedName name="DA">#REF!</definedName>
    <definedName name="DA_10">#REF!</definedName>
    <definedName name="DA_11">#REF!</definedName>
    <definedName name="DA_12">#REF!</definedName>
    <definedName name="DA_13">#REF!</definedName>
    <definedName name="DA_14">#REF!</definedName>
    <definedName name="DA_15">#REF!</definedName>
    <definedName name="DA_16">#REF!</definedName>
    <definedName name="DA_17">#REF!</definedName>
    <definedName name="DA_18">#REF!</definedName>
    <definedName name="DA_2">#REF!</definedName>
    <definedName name="DA_5">#REF!</definedName>
    <definedName name="DA_6">#REF!</definedName>
    <definedName name="DA_7">#REF!</definedName>
    <definedName name="DA_8">#REF!</definedName>
    <definedName name="DA_9">#REF!</definedName>
    <definedName name="DAC">#REF!</definedName>
    <definedName name="dadinho" localSheetId="1">#REF!</definedName>
    <definedName name="dadinho">#REF!</definedName>
    <definedName name="dadinho_11">#REF!</definedName>
    <definedName name="dadinho_11_19">#REF!</definedName>
    <definedName name="dadinho_13">#REF!</definedName>
    <definedName name="dadinho_13_1">#REF!</definedName>
    <definedName name="dadinho_13_19">#REF!</definedName>
    <definedName name="dadinho_19">#REF!</definedName>
    <definedName name="dadinho_21">#REF!</definedName>
    <definedName name="dadinho_21_19">#REF!</definedName>
    <definedName name="dadinho_6">#REF!</definedName>
    <definedName name="dadinho_7">#REF!</definedName>
    <definedName name="dadinho_8">#REF!</definedName>
    <definedName name="dadinho_9">#REF!</definedName>
    <definedName name="DADOS" localSheetId="1">#REF!</definedName>
    <definedName name="DADOS">#REF!</definedName>
    <definedName name="DADOS_11">#REF!</definedName>
    <definedName name="DADOS_11_19">#REF!</definedName>
    <definedName name="DADOS_13">#REF!</definedName>
    <definedName name="DADOS_13_1">#REF!</definedName>
    <definedName name="DADOS_13_19">#REF!</definedName>
    <definedName name="DADOS_14">#REF!</definedName>
    <definedName name="DADOS_14_19">#REF!</definedName>
    <definedName name="DADOS_15">#REF!</definedName>
    <definedName name="DADOS_15_19">#REF!</definedName>
    <definedName name="DADOS_16">#REF!</definedName>
    <definedName name="DADOS_16_19">#REF!</definedName>
    <definedName name="DADOS_19">#REF!</definedName>
    <definedName name="DADOS_19_1">#REF!</definedName>
    <definedName name="DADOS_21">#REF!</definedName>
    <definedName name="DADOS_21_19">#REF!</definedName>
    <definedName name="DADOS_6">#REF!</definedName>
    <definedName name="DADOS_7">#REF!</definedName>
    <definedName name="DADOS_8">#REF!</definedName>
    <definedName name="DADOS_9">#REF!</definedName>
    <definedName name="Dados_Britados">#REF!</definedName>
    <definedName name="Dados_MASSA">#REF!</definedName>
    <definedName name="DADOS_Rebritagem">#REF!</definedName>
    <definedName name="DADOS1" localSheetId="1">#REF!</definedName>
    <definedName name="DADOS1">#REF!</definedName>
    <definedName name="dadosed">#REF!</definedName>
    <definedName name="DADOSPROCV">#REF!</definedName>
    <definedName name="DAER1">#REF!</definedName>
    <definedName name="DAER11">#REF!</definedName>
    <definedName name="danil" localSheetId="1">#REF!</definedName>
    <definedName name="danil">#REF!</definedName>
    <definedName name="danilo" localSheetId="1">#REF!</definedName>
    <definedName name="danilo">#REF!</definedName>
    <definedName name="DAR">#REF!</definedName>
    <definedName name="dat">#REF!</definedName>
    <definedName name="Data" localSheetId="1">#REF!</definedName>
    <definedName name="Data">#REF!</definedName>
    <definedName name="DATA_BASE">#REF!</definedName>
    <definedName name="DATA_ENTREGA">#REF!</definedName>
    <definedName name="Data_Fecha">#REF!</definedName>
    <definedName name="Data_Final" localSheetId="1">#REF!</definedName>
    <definedName name="Data_Final">#REF!</definedName>
    <definedName name="Data_Final_2">#REF!</definedName>
    <definedName name="Data_Final_4">#REF!</definedName>
    <definedName name="Data_Finall">#REF!</definedName>
    <definedName name="Data_Início" localSheetId="1">#REF!</definedName>
    <definedName name="Data_Início">#REF!</definedName>
    <definedName name="Data_Início_2">#REF!</definedName>
    <definedName name="Data_Início_4">#REF!</definedName>
    <definedName name="Data_Inícioo">#REF!</definedName>
    <definedName name="Database" localSheetId="1">#REF!</definedName>
    <definedName name="Database">#REF!</definedName>
    <definedName name="database1">#REF!</definedName>
    <definedName name="database2">#REF!</definedName>
    <definedName name="DATABASE20">#REF!</definedName>
    <definedName name="database234">#REF!</definedName>
    <definedName name="database9">#REF!</definedName>
    <definedName name="database9_2">#REF!</definedName>
    <definedName name="dataInicioObra" localSheetId="1">[10]DADOS!$H$13</definedName>
    <definedName name="dataInicioObra">[11]DADOS!$H$13</definedName>
    <definedName name="daV" localSheetId="1">#REF!</definedName>
    <definedName name="daV">#REF!</definedName>
    <definedName name="daVIDSON">#REF!</definedName>
    <definedName name="DBII">#REF!</definedName>
    <definedName name="DBU">#REF!</definedName>
    <definedName name="DCA">#REF!</definedName>
    <definedName name="DCAN">#REF!</definedName>
    <definedName name="DCAW">#REF!</definedName>
    <definedName name="DCC">#REF!</definedName>
    <definedName name="DCFVDSVEBV">#REF!</definedName>
    <definedName name="DCSAFSAD">#REF!</definedName>
    <definedName name="DCSAFSAD_10">#REF!</definedName>
    <definedName name="DCSAFSAD_11">#REF!</definedName>
    <definedName name="DCSAFSAD_12">#REF!</definedName>
    <definedName name="DCSAFSAD_13">#REF!</definedName>
    <definedName name="DCSAFSAD_14">#REF!</definedName>
    <definedName name="DCSAFSAD_15">#REF!</definedName>
    <definedName name="DCSAFSAD_16">#REF!</definedName>
    <definedName name="DCSAFSAD_17">#REF!</definedName>
    <definedName name="DCSAFSAD_18">#REF!</definedName>
    <definedName name="DCSAFSAD_2">#REF!</definedName>
    <definedName name="DCSAFSAD_5">#REF!</definedName>
    <definedName name="DCSAFSAD_6">#REF!</definedName>
    <definedName name="DCSAFSAD_7">#REF!</definedName>
    <definedName name="DCSAFSAD_8">#REF!</definedName>
    <definedName name="DCSAFSAD_9">#REF!</definedName>
    <definedName name="DD" localSheetId="1">#REF!</definedName>
    <definedName name="DD">#REF!</definedName>
    <definedName name="DDD" localSheetId="1">#REF!</definedName>
    <definedName name="DDD">#REF!</definedName>
    <definedName name="DDDD">#REF!</definedName>
    <definedName name="DDDDD">#REF!</definedName>
    <definedName name="DDDDDD">#REF!</definedName>
    <definedName name="ddddddd">#REF!</definedName>
    <definedName name="dddddddddd">#REF!</definedName>
    <definedName name="DDDDDSAR">#REF!</definedName>
    <definedName name="dddf">#REF!</definedName>
    <definedName name="ddff">#REF!</definedName>
    <definedName name="DDGDGVD">#REF!</definedName>
    <definedName name="DE_km">#REF!</definedName>
    <definedName name="deactivatedados.form1" localSheetId="1">IF([10]Eventograma_e_Quantitativos!B1="","",VALUE(LEFT([10]Eventograma_e_Quantitativos!B1,(FIND("-",[10]Eventograma_e_Quantitativos!B1,1))-1)))</definedName>
    <definedName name="deactivatedados.form1">IF([11]Eventograma_e_Quantitativos!B1="","",VALUE(LEFT([11]Eventograma_e_Quantitativos!B1,(FIND("-",[11]Eventograma_e_Quantitativos!B1,1))-1)))</definedName>
    <definedName name="Deco" localSheetId="1">#REF!</definedName>
    <definedName name="Deco">#REF!</definedName>
    <definedName name="DECOFIN">#REF!</definedName>
    <definedName name="DECOFIN_10">#REF!</definedName>
    <definedName name="DECOFIN_11">#REF!</definedName>
    <definedName name="DECOFIN_12">#REF!</definedName>
    <definedName name="DECOFIN_13">#REF!</definedName>
    <definedName name="DECOFIN_14">#REF!</definedName>
    <definedName name="DECOFIN_15">#REF!</definedName>
    <definedName name="DECOFIN_16">#REF!</definedName>
    <definedName name="DECOFIN_17">#REF!</definedName>
    <definedName name="DECOFIN_18">#REF!</definedName>
    <definedName name="DECOFIN_2">#REF!</definedName>
    <definedName name="DECOFIN_5">#REF!</definedName>
    <definedName name="DECOFIN_6">#REF!</definedName>
    <definedName name="DECOFIN_7">#REF!</definedName>
    <definedName name="DECOFIN_8">#REF!</definedName>
    <definedName name="DECOFIN_9">#REF!</definedName>
    <definedName name="defensa">#REF!</definedName>
    <definedName name="dele">#REF!</definedName>
    <definedName name="DEMONSTRATIVO_DO_RESULTADO_GERENCIAL___DGR">#REF!</definedName>
    <definedName name="Denominação">#REF!</definedName>
    <definedName name="densidade_cap" localSheetId="1">#REF!</definedName>
    <definedName name="densidade_cap">#REF!</definedName>
    <definedName name="Densidades">#REF!</definedName>
    <definedName name="DEQUIP">#REF!</definedName>
    <definedName name="derd">#REF!</definedName>
    <definedName name="DES" localSheetId="1">#REF!</definedName>
    <definedName name="DES">#REF!</definedName>
    <definedName name="DESAP" localSheetId="1">#REF!</definedName>
    <definedName name="DESAP">#REF!</definedName>
    <definedName name="DESAPROPRIAÇÃO">'[16]AQU TERRENO-'!$H$9</definedName>
    <definedName name="DescAux" localSheetId="1">#REF!</definedName>
    <definedName name="DescAux">#REF!</definedName>
    <definedName name="Descontos">#REF!</definedName>
    <definedName name="descricao">#REF!</definedName>
    <definedName name="DESCRIÇÃO">#REF!</definedName>
    <definedName name="DESCRICAO_OBRA">#REF!</definedName>
    <definedName name="DESCRITIVO1">#REF!</definedName>
    <definedName name="Desenbolso_2">#REF!</definedName>
    <definedName name="desenbolso2">#REF!</definedName>
    <definedName name="DesfazerLimpar">#REF!</definedName>
    <definedName name="deso">#REF!</definedName>
    <definedName name="DESP.INDIRETAS">#REF!</definedName>
    <definedName name="DESP.INDIRETAS_10">#REF!</definedName>
    <definedName name="DESP.INDIRETAS_11">#REF!</definedName>
    <definedName name="DESP.INDIRETAS_12">#REF!</definedName>
    <definedName name="DESP.INDIRETAS_13">#REF!</definedName>
    <definedName name="DESP.INDIRETAS_14">#REF!</definedName>
    <definedName name="DESP.INDIRETAS_15">#REF!</definedName>
    <definedName name="DESP.INDIRETAS_16">#REF!</definedName>
    <definedName name="DESP.INDIRETAS_17">#REF!</definedName>
    <definedName name="DESP.INDIRETAS_18">#REF!</definedName>
    <definedName name="DESP.INDIRETAS_2">#REF!</definedName>
    <definedName name="DESP.INDIRETAS_5">#REF!</definedName>
    <definedName name="DESP.INDIRETAS_6">#REF!</definedName>
    <definedName name="DESP.INDIRETAS_7">#REF!</definedName>
    <definedName name="DESP.INDIRETAS_8">#REF!</definedName>
    <definedName name="DESP.INDIRETAS_9">#REF!</definedName>
    <definedName name="DESVIOCUSTO">#REF!</definedName>
    <definedName name="DESVIOCUSTOS">#REF!</definedName>
    <definedName name="Detalhamento" localSheetId="1">OFFSET([10]Detalhamento!$A$16,1,0):OFFSET([10]Detalhamento!$A$37,-1,0)</definedName>
    <definedName name="Detalhamento">OFFSET([11]Detalhamento!$A$16,1,0):OFFSET([11]Detalhamento!$A$37,-1,0)</definedName>
    <definedName name="Detalhamento.Imprimir" localSheetId="1">[10]Detalhamento!$E$2:OFFSET([10]Detalhamento!$K$40,0,MAX(TRUNC([0]!numFrentes/6,0)+IF(MOD([0]!numFrentes,6)&lt;&gt;0,1,0),1)*6)</definedName>
    <definedName name="Detalhamento.Imprimir">[11]Detalhamento!$E$2:OFFSET([11]Detalhamento!$K$40,0,MAX(TRUNC(numFrentes/6,0)+IF(MOD(numFrentes,6)&lt;&gt;0,1,0),1)*6)</definedName>
    <definedName name="Detalhamento.OpçãoServiços" localSheetId="1">[10]Detalhamento!$B$12</definedName>
    <definedName name="Detalhamento.OpçãoServiços">[11]Detalhamento!$B$12</definedName>
    <definedName name="Detalhamento.OpçõesExibição" localSheetId="1">[10]Detalhamento!$B$6:$B$7</definedName>
    <definedName name="Detalhamento.OpçõesExibição">[11]Detalhamento!$B$6:$B$7</definedName>
    <definedName name="Detalhamento.OpçõesServiços" localSheetId="1">[10]Detalhamento!$B$9:$B$11</definedName>
    <definedName name="Detalhamento.OpçõesServiços">[11]Detalhamento!$B$9:$B$11</definedName>
    <definedName name="DEZA" localSheetId="1">#REF!</definedName>
    <definedName name="DEZA">#REF!</definedName>
    <definedName name="Df" localSheetId="1">#REF!</definedName>
    <definedName name="Df">#REF!</definedName>
    <definedName name="DFADEXA">#REF!</definedName>
    <definedName name="dfdf" localSheetId="1" hidden="1">{#N/A,#N/A,FALSE,"MO (2)"}</definedName>
    <definedName name="dfdf">{#N/A,#N/A,FALSE,"MO (2)"}</definedName>
    <definedName name="DFEFDVFDFGFD" localSheetId="1">#REF!</definedName>
    <definedName name="DFEFDVFDFGFD">#REF!</definedName>
    <definedName name="dfgfgd">#REF!</definedName>
    <definedName name="dfgh">#REF!</definedName>
    <definedName name="dfgs">#REF!</definedName>
    <definedName name="dfgss">#REF!</definedName>
    <definedName name="DFGT">[1]reforma!#REF!</definedName>
    <definedName name="DFT">[1]reforma!#REF!</definedName>
    <definedName name="DG">[17]COMPOSIÇÃO!$I$10</definedName>
    <definedName name="DGA" localSheetId="1">'[3]pro-08'!#REF!</definedName>
    <definedName name="DGA">'[3]pro-08'!#REF!</definedName>
    <definedName name="DGA_10" localSheetId="1">#REF!</definedName>
    <definedName name="DGA_10">#REF!</definedName>
    <definedName name="DGA_11">#REF!</definedName>
    <definedName name="DGA_12">#REF!</definedName>
    <definedName name="DGA_13">#REF!</definedName>
    <definedName name="DGA_14">#REF!</definedName>
    <definedName name="DGA_15">#REF!</definedName>
    <definedName name="DGA_16">#REF!</definedName>
    <definedName name="DGA_17">#REF!</definedName>
    <definedName name="DGA_18">#REF!</definedName>
    <definedName name="DGA_5">#REF!</definedName>
    <definedName name="DGA_6">#REF!</definedName>
    <definedName name="DGA_7">#REF!</definedName>
    <definedName name="DGA_8">#REF!</definedName>
    <definedName name="DGA_9">#REF!</definedName>
    <definedName name="DGF">#REF!</definedName>
    <definedName name="Dia_trab">#REF!</definedName>
    <definedName name="Diagrama">#REF!</definedName>
    <definedName name="DIAM_EMI_19">#REF!</definedName>
    <definedName name="dias">#REF!</definedName>
    <definedName name="Diasemana">#REF!</definedName>
    <definedName name="Dif">#REF!</definedName>
    <definedName name="DIFERENCIADO">#REF!</definedName>
    <definedName name="difi">#REF!</definedName>
    <definedName name="DIFIC">#REF!</definedName>
    <definedName name="DIFIC1">#REF!</definedName>
    <definedName name="DIMPAV">#REF!</definedName>
    <definedName name="Dir_Tecnico">#REF!</definedName>
    <definedName name="Dissídio" localSheetId="1">#REF!</definedName>
    <definedName name="Dissídio">#REF!</definedName>
    <definedName name="DIST">#REF!</definedName>
    <definedName name="DIST1">#REF!</definedName>
    <definedName name="DIST10">#REF!</definedName>
    <definedName name="DIST2">#REF!</definedName>
    <definedName name="DISTA">#REF!</definedName>
    <definedName name="DISTC">#REF!</definedName>
    <definedName name="DISTP">#REF!</definedName>
    <definedName name="DISTS">#REF!</definedName>
    <definedName name="Div">#REF!</definedName>
    <definedName name="DIVE">#REF!</definedName>
    <definedName name="diverso2">#REF!</definedName>
    <definedName name="DJ" localSheetId="1">#REF!</definedName>
    <definedName name="DJ">#REF!</definedName>
    <definedName name="DJ_2">#REF!</definedName>
    <definedName name="DJ_4">#REF!</definedName>
    <definedName name="DJJ">#REF!</definedName>
    <definedName name="DKJBGKSHAK" localSheetId="1">#REF!</definedName>
    <definedName name="DKJBGKSHAK">#REF!</definedName>
    <definedName name="DMB">#REF!</definedName>
    <definedName name="DMT">[18]C.U!$D$1651,[18]C.U!$D$1155</definedName>
    <definedName name="DMT_0_50" localSheetId="1">#REF!</definedName>
    <definedName name="DMT_0_50">#REF!</definedName>
    <definedName name="DMT_1000" localSheetId="1">#REF!</definedName>
    <definedName name="DMT_1000">#REF!</definedName>
    <definedName name="DMT_200" localSheetId="1">#REF!</definedName>
    <definedName name="DMT_200">#REF!</definedName>
    <definedName name="DMT_200_400" localSheetId="1">#REF!</definedName>
    <definedName name="DMT_200_400">#REF!</definedName>
    <definedName name="DMT_400" localSheetId="1">#REF!</definedName>
    <definedName name="DMT_400">#REF!</definedName>
    <definedName name="DMT_400_600" localSheetId="1">#REF!</definedName>
    <definedName name="DMT_400_600">#REF!</definedName>
    <definedName name="DMT_50" localSheetId="1">#REF!</definedName>
    <definedName name="DMT_50">#REF!</definedName>
    <definedName name="DMT_50_200" localSheetId="1">#REF!</definedName>
    <definedName name="DMT_50_200">#REF!</definedName>
    <definedName name="DMT_600" localSheetId="1">#REF!</definedName>
    <definedName name="DMT_600">#REF!</definedName>
    <definedName name="DMT_800" localSheetId="1">#REF!</definedName>
    <definedName name="DMT_800">#REF!</definedName>
    <definedName name="dmtr">#REF!</definedName>
    <definedName name="DMTRR">#REF!</definedName>
    <definedName name="DMTRRR">#REF!</definedName>
    <definedName name="DNCANT100">#REF!</definedName>
    <definedName name="DNCANT109">#REF!</definedName>
    <definedName name="DNCANT164">#REF!</definedName>
    <definedName name="DNCANT221">#REF!</definedName>
    <definedName name="DNCANT223">#REF!</definedName>
    <definedName name="DNCANT225">#REF!</definedName>
    <definedName name="DNCANT237">#REF!</definedName>
    <definedName name="DNCANT270">#REF!</definedName>
    <definedName name="DNCANT271">#REF!</definedName>
    <definedName name="DNCANT273">#REF!</definedName>
    <definedName name="DNCANT274">#REF!</definedName>
    <definedName name="DNCANT333">#REF!</definedName>
    <definedName name="DNCANT337">#REF!</definedName>
    <definedName name="DNCANT352">#REF!</definedName>
    <definedName name="DNCANT387ZC">#REF!</definedName>
    <definedName name="DNCANT387ZN">#REF!</definedName>
    <definedName name="DNCANT387ZS">#REF!</definedName>
    <definedName name="DNCEXE100">#REF!</definedName>
    <definedName name="DNCEXE109">#REF!</definedName>
    <definedName name="DNCEXE164">#REF!</definedName>
    <definedName name="DNCEXE221">#REF!</definedName>
    <definedName name="DNCEXE223">#REF!</definedName>
    <definedName name="DNCEXE225">#REF!</definedName>
    <definedName name="DNCEXE237">#REF!</definedName>
    <definedName name="DNCEXE270">#REF!</definedName>
    <definedName name="DNCEXE271">#REF!</definedName>
    <definedName name="DNCEXE273">#REF!</definedName>
    <definedName name="DNCEXE274">#REF!</definedName>
    <definedName name="DNCEXE333">#REF!</definedName>
    <definedName name="DNCEXE337">#REF!</definedName>
    <definedName name="DNCEXE352">#REF!</definedName>
    <definedName name="DNCEXE387ZC">#REF!</definedName>
    <definedName name="DNCEXE387ZN">#REF!</definedName>
    <definedName name="DNCEXE387ZS">#REF!</definedName>
    <definedName name="dnd">#REF!</definedName>
    <definedName name="dnd_10">#REF!</definedName>
    <definedName name="DND_1007">#REF!</definedName>
    <definedName name="dnd_11">#REF!</definedName>
    <definedName name="dnd_12">#REF!</definedName>
    <definedName name="dnd_13">#REF!</definedName>
    <definedName name="dnd_14">#REF!</definedName>
    <definedName name="dnd_15">#REF!</definedName>
    <definedName name="dnd_16">#REF!</definedName>
    <definedName name="dnd_17">#REF!</definedName>
    <definedName name="dnd_18">#REF!</definedName>
    <definedName name="dnd_2">#REF!</definedName>
    <definedName name="dnd_5">#REF!</definedName>
    <definedName name="dnd_6">#REF!</definedName>
    <definedName name="dnd_7">#REF!</definedName>
    <definedName name="dnd_8">#REF!</definedName>
    <definedName name="dnd_9">#REF!</definedName>
    <definedName name="DND2_10">#REF!</definedName>
    <definedName name="DND2_11">#REF!</definedName>
    <definedName name="DND2_12">#REF!</definedName>
    <definedName name="DND2_13">#REF!</definedName>
    <definedName name="DND2_14">#REF!</definedName>
    <definedName name="DND2_15">#REF!</definedName>
    <definedName name="DND2_16">#REF!</definedName>
    <definedName name="DND2_17">#REF!</definedName>
    <definedName name="DND2_18">#REF!</definedName>
    <definedName name="DND2_2">#REF!</definedName>
    <definedName name="DND2_5">#REF!</definedName>
    <definedName name="DND2_6">#REF!</definedName>
    <definedName name="DND2_7">#REF!</definedName>
    <definedName name="DND2_8">#REF!</definedName>
    <definedName name="DND2_9">#REF!</definedName>
    <definedName name="Document">#REF!</definedName>
    <definedName name="dois">#REF!</definedName>
    <definedName name="Dom_Páscoa">#REF!</definedName>
    <definedName name="DPD">#REF!</definedName>
    <definedName name="DPESSO">#REF!</definedName>
    <definedName name="dre">#REF!</definedName>
    <definedName name="drena" localSheetId="1">#REF!</definedName>
    <definedName name="drena">#REF!</definedName>
    <definedName name="drenagem">#REF!</definedName>
    <definedName name="drenagem2">#REF!</definedName>
    <definedName name="DRGTU" localSheetId="1">#REF!</definedName>
    <definedName name="DRGTU">#REF!</definedName>
    <definedName name="DRTVRT">#REF!</definedName>
    <definedName name="ds">#REF!</definedName>
    <definedName name="DSF">#REF!</definedName>
    <definedName name="DSFDS">#REF!</definedName>
    <definedName name="DSFSA">#REF!</definedName>
    <definedName name="dsolo">#REF!</definedName>
    <definedName name="dsr4g">#REF!</definedName>
    <definedName name="DSTSHFD">#REF!</definedName>
    <definedName name="DTMED">#REF!</definedName>
    <definedName name="DU" localSheetId="1">#REF!</definedName>
    <definedName name="DU">#REF!</definedName>
    <definedName name="DWD" localSheetId="1">#REF!</definedName>
    <definedName name="DWD">#REF!</definedName>
    <definedName name="dx">'[19]ENTRADA DE DADOS'!$F$5</definedName>
    <definedName name="dxi">'[19]ENTRADA DE DADOS'!$I$5</definedName>
    <definedName name="DY">'[20]ENTRADA DE DADOS'!$F$5</definedName>
    <definedName name="e" localSheetId="1">#REF!</definedName>
    <definedName name="e">#REF!</definedName>
    <definedName name="e__cm">#REF!</definedName>
    <definedName name="E_10">#REF!</definedName>
    <definedName name="E_11">#REF!</definedName>
    <definedName name="E_12">#REF!</definedName>
    <definedName name="E_13">#REF!</definedName>
    <definedName name="E_14">#REF!</definedName>
    <definedName name="E_15">#REF!</definedName>
    <definedName name="E_16">#REF!</definedName>
    <definedName name="E_17">#REF!</definedName>
    <definedName name="E_18">#REF!</definedName>
    <definedName name="E_2">#REF!</definedName>
    <definedName name="E_5">#REF!</definedName>
    <definedName name="E_6">#REF!</definedName>
    <definedName name="E_7">#REF!</definedName>
    <definedName name="E_8">#REF!</definedName>
    <definedName name="E_9">#REF!</definedName>
    <definedName name="EA">#REF!</definedName>
    <definedName name="ECJ" localSheetId="1">#REF!</definedName>
    <definedName name="ECJ">#REF!</definedName>
    <definedName name="ECJ_2">#REF!</definedName>
    <definedName name="ECJ_4">#REF!</definedName>
    <definedName name="ECJJ">#REF!</definedName>
    <definedName name="EDDFR">#REF!</definedName>
    <definedName name="EDDRFR">#REF!</definedName>
    <definedName name="EDECE">#REF!</definedName>
    <definedName name="EDEDEDE">#REF!</definedName>
    <definedName name="EDEDFRE">#REF!</definedName>
    <definedName name="EDEFDRF">#REF!</definedName>
    <definedName name="EDEFR">#REF!</definedName>
    <definedName name="Edit">#REF!</definedName>
    <definedName name="Edital">#REF!</definedName>
    <definedName name="EDRT">#REF!</definedName>
    <definedName name="EDXEC">#REF!</definedName>
    <definedName name="EE" localSheetId="1">#REF!</definedName>
    <definedName name="EE">#REF!</definedName>
    <definedName name="EE1_MAT" localSheetId="1">'[21]b - captação_elevação 1a etapa '!#REF!</definedName>
    <definedName name="EE1_MAT">'[21]b - captação_elevação 1a etapa '!#REF!</definedName>
    <definedName name="EE1_MATERIAIS">'[16]ESTA ELEVATÓRIA_'!$H$106</definedName>
    <definedName name="EE1_SERV">'[21]b - captação_elevação 1a etapa '!#REF!</definedName>
    <definedName name="EE1_SERVIÇOS">'[16]ESTA ELEVATÓRIA_'!$H$9</definedName>
    <definedName name="EE2_MAT">'[21]b - captação_elevação 1a etapa '!#REF!</definedName>
    <definedName name="EE2_MATERIAIS">'[16]ESTA ELEVATÓRIA_'!$H$244</definedName>
    <definedName name="EE2_SERV">'[21]b - captação_elevação 1a etapa '!#REF!</definedName>
    <definedName name="EE2_SERVIÇOS">'[16]ESTA ELEVATÓRIA_'!$H$143</definedName>
    <definedName name="EE3_MAT">'[21]b - captação_elevação 1a etapa '!#REF!</definedName>
    <definedName name="EE3_SERV">'[21]b - captação_elevação 1a etapa '!#REF!</definedName>
    <definedName name="EEE" localSheetId="1">#REF!</definedName>
    <definedName name="EEE">#REF!</definedName>
    <definedName name="EEEEE" localSheetId="1">[1]reforma!#REF!</definedName>
    <definedName name="EEEEE">[1]reforma!#REF!</definedName>
    <definedName name="EEEEEEEEE" localSheetId="1">#REF!</definedName>
    <definedName name="EEEEEEEEE">#REF!</definedName>
    <definedName name="Ef">#REF!</definedName>
    <definedName name="Efaixa">#REF!</definedName>
    <definedName name="Efaixa_1">#REF!</definedName>
    <definedName name="Efaixa_3">#REF!</definedName>
    <definedName name="Efaixa_4">#REF!</definedName>
    <definedName name="Efaixa_5">#REF!</definedName>
    <definedName name="Efaixaa">#REF!</definedName>
    <definedName name="EFFGGRT">#REF!</definedName>
    <definedName name="efrfrf">#REF!</definedName>
    <definedName name="Ei">#REF!</definedName>
    <definedName name="EJ" localSheetId="1">#REF!</definedName>
    <definedName name="EJ">#REF!</definedName>
    <definedName name="EJ_2">#REF!</definedName>
    <definedName name="EJ_4">#REF!</definedName>
    <definedName name="EJJ">#REF!</definedName>
    <definedName name="ELE">#REF!</definedName>
    <definedName name="Elemento_vazado" localSheetId="1">#REF!</definedName>
    <definedName name="Elemento_vazado">#REF!</definedName>
    <definedName name="eliabe" localSheetId="1">#REF!</definedName>
    <definedName name="eliabe">#REF!</definedName>
    <definedName name="ELLICLAU" localSheetId="1">#REF!</definedName>
    <definedName name="ELLICLAU">#REF!</definedName>
    <definedName name="EM" localSheetId="1">#REF!</definedName>
    <definedName name="EM">#REF!</definedName>
    <definedName name="EMEGENCIA">#REF!</definedName>
    <definedName name="EMEGENCIA_10">#REF!</definedName>
    <definedName name="EMEGENCIA_11">#REF!</definedName>
    <definedName name="EMEGENCIA_12">#REF!</definedName>
    <definedName name="EMEGENCIA_13">#REF!</definedName>
    <definedName name="EMEGENCIA_14">#REF!</definedName>
    <definedName name="EMEGENCIA_15">#REF!</definedName>
    <definedName name="EMEGENCIA_16">#REF!</definedName>
    <definedName name="EMEGENCIA_17">#REF!</definedName>
    <definedName name="EMEGENCIA_18">#REF!</definedName>
    <definedName name="EMEGENCIA_2">#REF!</definedName>
    <definedName name="EMEGENCIA_5">#REF!</definedName>
    <definedName name="EMEGENCIA_6">#REF!</definedName>
    <definedName name="EMEGENCIA_7">#REF!</definedName>
    <definedName name="EMEGENCIA_8">#REF!</definedName>
    <definedName name="EMEGENCIA_9">#REF!</definedName>
    <definedName name="EMERGENCIA">#REF!</definedName>
    <definedName name="EMI" localSheetId="1">#REF!</definedName>
    <definedName name="EMI">#REF!</definedName>
    <definedName name="EMISS_1_MAT" localSheetId="1">#REF!</definedName>
    <definedName name="EMISS_1_MAT">#REF!</definedName>
    <definedName name="EMISS_1_SERV" localSheetId="1">#REF!</definedName>
    <definedName name="EMISS_1_SERV">#REF!</definedName>
    <definedName name="EMISS_2_MAT" localSheetId="1">#REF!</definedName>
    <definedName name="EMISS_2_MAT">#REF!</definedName>
    <definedName name="EMISS_2_SERV" localSheetId="1">#REF!</definedName>
    <definedName name="EMISS_2_SERV">#REF!</definedName>
    <definedName name="EMISS_2_SERV2" localSheetId="1">#REF!</definedName>
    <definedName name="EMISS_2_SERV2">#REF!</definedName>
    <definedName name="EMISS_3_MAT" localSheetId="1">#REF!</definedName>
    <definedName name="EMISS_3_MAT">#REF!</definedName>
    <definedName name="EMISS_3_SERV" localSheetId="1">#REF!</definedName>
    <definedName name="EMISS_3_SERV">#REF!</definedName>
    <definedName name="EMISSÁRIO1_MATERIAIS">[16]EMISSÁRIO_!$H$39</definedName>
    <definedName name="EMISSÁRIO1_SERVIÇOS">[16]EMISSÁRIO_!$H$9</definedName>
    <definedName name="EMISSÁRIO2_MATERIAIS">[16]EMISSÁRIO_!$H$80</definedName>
    <definedName name="EMISSÁRIO2_SERVIÇOS">[16]EMISSÁRIO_!$H$50</definedName>
    <definedName name="EMN" localSheetId="1">#REF!</definedName>
    <definedName name="EMN">#REF!</definedName>
    <definedName name="Empolamento" localSheetId="1">#REF!</definedName>
    <definedName name="Empolamento">#REF!</definedName>
    <definedName name="Empr">#REF!</definedName>
    <definedName name="EMPRE">#REF!</definedName>
    <definedName name="Empresa">#REF!</definedName>
    <definedName name="Empresa_Lider">#REF!</definedName>
    <definedName name="EMW">#REF!</definedName>
    <definedName name="EMWA">#REF!</definedName>
    <definedName name="ENC">#REF!</definedName>
    <definedName name="eNCARGOS" localSheetId="1">[1]reforma!#REF!</definedName>
    <definedName name="eNCARGOS">[1]reforma!#REF!</definedName>
    <definedName name="Entrega" localSheetId="1">#REF!</definedName>
    <definedName name="Entrega">#REF!</definedName>
    <definedName name="EPVT" localSheetId="1">#REF!</definedName>
    <definedName name="EPVT">#REF!</definedName>
    <definedName name="EQ">#REF!</definedName>
    <definedName name="EQPTO" localSheetId="1">#REF!</definedName>
    <definedName name="EQPTO">#REF!</definedName>
    <definedName name="EQPTOS">#REF!</definedName>
    <definedName name="EQUI">#REF!</definedName>
    <definedName name="equip">#REF!</definedName>
    <definedName name="equipamento">#REF!</definedName>
    <definedName name="equipamento_4">#REF!</definedName>
    <definedName name="equipamento_4_2">#REF!</definedName>
    <definedName name="equipamento_6">#REF!</definedName>
    <definedName name="equipamento_6_2">#REF!</definedName>
    <definedName name="equipamento_7">#REF!</definedName>
    <definedName name="equipamento_7_2">#REF!</definedName>
    <definedName name="equipamento_8">#REF!</definedName>
    <definedName name="equipamento_8_2">#REF!</definedName>
    <definedName name="equipamento_9">#REF!</definedName>
    <definedName name="equipamento_9_2">#REF!</definedName>
    <definedName name="equipp">#REF!</definedName>
    <definedName name="ER" localSheetId="1">[1]reforma!#REF!</definedName>
    <definedName name="ER">[1]reforma!#REF!</definedName>
    <definedName name="erewq" localSheetId="1">#REF!</definedName>
    <definedName name="erewq">#REF!</definedName>
    <definedName name="err" localSheetId="1">[0]!err</definedName>
    <definedName name="err">#N/A</definedName>
    <definedName name="ert" localSheetId="1">[1]reforma!#REF!</definedName>
    <definedName name="ert">[1]reforma!#REF!</definedName>
    <definedName name="erttttt" localSheetId="1">#REF!</definedName>
    <definedName name="erttttt">#REF!</definedName>
    <definedName name="ERTYRE" localSheetId="1">[1]reforma!#REF!</definedName>
    <definedName name="ERTYRE">[1]reforma!#REF!</definedName>
    <definedName name="ES" localSheetId="1">[1]reforma!#REF!</definedName>
    <definedName name="ES">[1]reforma!#REF!</definedName>
    <definedName name="esag" localSheetId="1">#REF!</definedName>
    <definedName name="esag">#REF!</definedName>
    <definedName name="esc">#REF!</definedName>
    <definedName name="ESC_EMISS3_S" localSheetId="1">#REF!</definedName>
    <definedName name="ESC_EMISS3_S">#REF!</definedName>
    <definedName name="escada">#REF!</definedName>
    <definedName name="ESCADARIA">#REF!</definedName>
    <definedName name="Escavação" localSheetId="1">#REF!</definedName>
    <definedName name="Escavação">#REF!</definedName>
    <definedName name="ESCORAMENTO" localSheetId="1">#REF!</definedName>
    <definedName name="ESCORAMENTO">#REF!</definedName>
    <definedName name="ESGOT_EMISS3_S" localSheetId="1">#REF!</definedName>
    <definedName name="ESGOT_EMISS3_S">#REF!</definedName>
    <definedName name="ESGOTAMENTO" localSheetId="1">#REF!</definedName>
    <definedName name="ESGOTAMENTO">#REF!</definedName>
    <definedName name="EsmoH" localSheetId="1">#REF!</definedName>
    <definedName name="EsmoH">#REF!</definedName>
    <definedName name="EsmoM" localSheetId="1">#REF!</definedName>
    <definedName name="EsmoM">#REF!</definedName>
    <definedName name="EsmoMP" localSheetId="1">#REF!</definedName>
    <definedName name="EsmoMP">#REF!</definedName>
    <definedName name="ESP">#REF!</definedName>
    <definedName name="ESPESSAMEN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QUADRIA" localSheetId="1">#REF!</definedName>
    <definedName name="ESQUADRIA">#REF!</definedName>
    <definedName name="Esquadrias" localSheetId="1">#REF!</definedName>
    <definedName name="Esquadrias">#REF!</definedName>
    <definedName name="est" localSheetId="1">#REF!</definedName>
    <definedName name="est">#REF!</definedName>
    <definedName name="Estabilidade">#REF!</definedName>
    <definedName name="estado" localSheetId="1">#REF!</definedName>
    <definedName name="estado">#REF!</definedName>
    <definedName name="ESTADOS">#REF!</definedName>
    <definedName name="estrelacelest" localSheetId="1">'[3]pro-08'!#REF!</definedName>
    <definedName name="estrelacelest">'[3]pro-08'!#REF!</definedName>
    <definedName name="ESTRUCONC" localSheetId="1">#REF!</definedName>
    <definedName name="ESTRUCONC">#REF!</definedName>
    <definedName name="Estrutura">'[22]lote 02 fofo'!#REF!</definedName>
    <definedName name="ESXT2" localSheetId="1">#REF!</definedName>
    <definedName name="ESXT2">#REF!</definedName>
    <definedName name="ETRVRTBRBTRT">#REF!</definedName>
    <definedName name="ett">#REF!</definedName>
    <definedName name="eu" localSheetId="1" hidden="1">{#N/A,#N/A,FALSE,"MO (2)"}</definedName>
    <definedName name="eu">{#N/A,#N/A,FALSE,"MO (2)"}</definedName>
    <definedName name="EVDCXFDBVGRVF" localSheetId="1">#REF!</definedName>
    <definedName name="EVDCXFDBVGRVF">#REF!</definedName>
    <definedName name="Eventograma_e_Quantitativos.Imprimir" localSheetId="1">[10]Eventograma_e_Quantitativos!$C$4:OFFSET([10]Eventograma_e_Quantitativos!$M$42,0,MAX(TRUNC(Memória!numFrentes/6,0)+IF(MOD(Memória!numFrentes,6)&lt;&gt;0,1,0),1)*6)</definedName>
    <definedName name="Eventograma_e_Quantitativos.Imprimir">[11]Eventograma_e_Quantitativos!$C$4:OFFSET([11]Eventograma_e_Quantitativos!$M$42,0,MAX(TRUNC(numFrentes/6,0)+IF(MOD(numFrentes,6)&lt;&gt;0,1,0),1)*6)</definedName>
    <definedName name="Eventos" localSheetId="1">OFFSET([10]DADOS!$A$33,1,0):OFFSET([10]DADOS!$C$37,-1,0)</definedName>
    <definedName name="Eventos">OFFSET([11]DADOS!$A$33,1,0):OFFSET([11]DADOS!$C$37,-1,0)</definedName>
    <definedName name="EventosVariaveis" localSheetId="1">OFFSET([10]DADOS!$A$34,1,0):OFFSET([10]DADOS!$C$37,-1,0)</definedName>
    <definedName name="EventosVariaveis">OFFSET([11]DADOS!$A$34,1,0):OFFSET([11]DADOS!$C$37,-1,0)</definedName>
    <definedName name="ewt" localSheetId="1">#REF!</definedName>
    <definedName name="ewt">#REF!</definedName>
    <definedName name="ex">#REF!</definedName>
    <definedName name="EXA" localSheetId="1">'[3]pro-08'!#REF!</definedName>
    <definedName name="EXA">'[3]pro-08'!#REF!</definedName>
    <definedName name="EXA_10" localSheetId="1">#REF!</definedName>
    <definedName name="EXA_10">#REF!</definedName>
    <definedName name="EXA_11">#REF!</definedName>
    <definedName name="EXA_12">#REF!</definedName>
    <definedName name="EXA_13">#REF!</definedName>
    <definedName name="EXA_14">#REF!</definedName>
    <definedName name="EXA_15">#REF!</definedName>
    <definedName name="EXA_16">#REF!</definedName>
    <definedName name="EXA_17">#REF!</definedName>
    <definedName name="EXA_18">#REF!</definedName>
    <definedName name="EXA_5">#REF!</definedName>
    <definedName name="EXA_6">#REF!</definedName>
    <definedName name="EXA_7">#REF!</definedName>
    <definedName name="EXA_8">#REF!</definedName>
    <definedName name="EXA_9">#REF!</definedName>
    <definedName name="Excel_BuiltIn__FilterDatabase_1">#REF!</definedName>
    <definedName name="Excel_BuiltIn__FilterDatabase_1_1">#REF!</definedName>
    <definedName name="Excel_BuiltIn__FilterDatabase_1_10">#REF!</definedName>
    <definedName name="Excel_BuiltIn__FilterDatabase_1_11">#REF!</definedName>
    <definedName name="Excel_BuiltIn__FilterDatabase_1_12">#REF!</definedName>
    <definedName name="Excel_BuiltIn__FilterDatabase_1_13">#REF!</definedName>
    <definedName name="Excel_BuiltIn__FilterDatabase_1_14">#REF!</definedName>
    <definedName name="Excel_BuiltIn__FilterDatabase_1_15">#REF!</definedName>
    <definedName name="Excel_BuiltIn__FilterDatabase_1_16">#REF!</definedName>
    <definedName name="Excel_BuiltIn__FilterDatabase_1_17">#REF!</definedName>
    <definedName name="Excel_BuiltIn__FilterDatabase_1_18">#REF!</definedName>
    <definedName name="Excel_BuiltIn__FilterDatabase_1_5">#REF!</definedName>
    <definedName name="Excel_BuiltIn__FilterDatabase_1_6">#REF!</definedName>
    <definedName name="Excel_BuiltIn__FilterDatabase_1_7">#REF!</definedName>
    <definedName name="Excel_BuiltIn__FilterDatabase_1_8">#REF!</definedName>
    <definedName name="Excel_BuiltIn__FilterDatabase_1_9">#REF!</definedName>
    <definedName name="Excel_BuiltIn__FilterDatabase_11" localSheetId="1">#REF!</definedName>
    <definedName name="Excel_BuiltIn__FilterDatabase_11">#REF!</definedName>
    <definedName name="Excel_BuiltIn__FilterDatabase_12" localSheetId="1">#REF!</definedName>
    <definedName name="Excel_BuiltIn__FilterDatabase_12">#REF!</definedName>
    <definedName name="Excel_BuiltIn__FilterDatabase_2" localSheetId="1">#REF!</definedName>
    <definedName name="Excel_BuiltIn__FilterDatabase_2">#REF!</definedName>
    <definedName name="Excel_BuiltIn__FilterDatabase_2_1">#REF!</definedName>
    <definedName name="Excel_BuiltIn__FilterDatabase_2_1_1">#REF!</definedName>
    <definedName name="Excel_BuiltIn__FilterDatabase_2_1_1_1">#REF!</definedName>
    <definedName name="Excel_BuiltIn__FilterDatabase_3" localSheetId="1">#REF!</definedName>
    <definedName name="Excel_BuiltIn__FilterDatabase_3">#REF!</definedName>
    <definedName name="Excel_BuiltIn__FilterDatabase_3_1">#REF!</definedName>
    <definedName name="Excel_BuiltIn__FilterDatabase_3_1_1">#REF!</definedName>
    <definedName name="Excel_BuiltIn__FilterDatabase_3_1_1_1">#REF!</definedName>
    <definedName name="Excel_BuiltIn__FilterDatabase_3_1_1_1_1">#REF!</definedName>
    <definedName name="Excel_BuiltIn__FilterDatabase_3_1_1_1_1_1">#REF!</definedName>
    <definedName name="Excel_BuiltIn__FilterDatabase_3_1_1_1_1_1_1">#REF!</definedName>
    <definedName name="Excel_BuiltIn__FilterDatabase_3_1_1_1_1_1_1_1">#REF!</definedName>
    <definedName name="Excel_BuiltIn__FilterDatabase_3_1_1_1_1_1_1_1_1">#REF!</definedName>
    <definedName name="Excel_BuiltIn__FilterDatabase_3_1_1_1_1_1_1_1_1_1">#REF!</definedName>
    <definedName name="Excel_BuiltIn__FilterDatabase_3_1_28">#REF!</definedName>
    <definedName name="Excel_BuiltIn__FilterDatabase_4" localSheetId="1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2">#REF!</definedName>
    <definedName name="Excel_BuiltIn__FilterDatabase_5" localSheetId="1">#REF!</definedName>
    <definedName name="Excel_BuiltIn__FilterDatabase_5">#REF!</definedName>
    <definedName name="Excel_BuiltIn__FilterDatabase_5_1">#REF!</definedName>
    <definedName name="Excel_BuiltIn__FilterDatabase_6" localSheetId="1">#REF!</definedName>
    <definedName name="Excel_BuiltIn__FilterDatabase_6">#REF!</definedName>
    <definedName name="Excel_BuiltIn__FilterDatabase_7" localSheetId="1">#REF!</definedName>
    <definedName name="Excel_BuiltIn__FilterDatabase_7">#REF!</definedName>
    <definedName name="Excel_BuiltIn__FilterDatabase_8" localSheetId="1">#REF!</definedName>
    <definedName name="Excel_BuiltIn__FilterDatabase_8">#REF!</definedName>
    <definedName name="Excel_BuiltIn__FilterDatabase_9" localSheetId="1">#REF!</definedName>
    <definedName name="Excel_BuiltIn__FilterDatabase_9">#REF!</definedName>
    <definedName name="Excel_BuiltIn_Criteria">#REF!</definedName>
    <definedName name="Excel_BuiltIn_Database" localSheetId="1">#REF!</definedName>
    <definedName name="Excel_BuiltIn_Database">#REF!</definedName>
    <definedName name="Excel_BuiltIn_Database_1" localSheetId="1">#REF!</definedName>
    <definedName name="Excel_BuiltIn_Database_1">#REF!</definedName>
    <definedName name="Excel_BuiltIn_Database_2">#REF!</definedName>
    <definedName name="Excel_BuiltIn_Database_2_1">#REF!</definedName>
    <definedName name="Excel_BuiltIn_Database_4">#REF!</definedName>
    <definedName name="Excel_BuiltIn_Database_4_2">#REF!</definedName>
    <definedName name="Excel_BuiltIn_Database_6" localSheetId="1">#REF!</definedName>
    <definedName name="Excel_BuiltIn_Database_6">#REF!</definedName>
    <definedName name="Excel_BuiltIn_Database_6_2">#REF!</definedName>
    <definedName name="Excel_BuiltIn_Database_7">#REF!</definedName>
    <definedName name="Excel_BuiltIn_Database_7_2">#REF!</definedName>
    <definedName name="Excel_BuiltIn_Database_8">#REF!</definedName>
    <definedName name="Excel_BuiltIn_Database_8_2">#REF!</definedName>
    <definedName name="Excel_BuiltIn_Database_9">#REF!</definedName>
    <definedName name="Excel_BuiltIn_Database_9_2">#REF!</definedName>
    <definedName name="Excel_BuiltIn_Print_Area">#REF!</definedName>
    <definedName name="Excel_BuiltIn_Print_Area_1" localSheetId="1">#REF!</definedName>
    <definedName name="Excel_BuiltIn_Print_Area_1">#REF!</definedName>
    <definedName name="Excel_BuiltIn_Print_Area_10">#REF!</definedName>
    <definedName name="Excel_BuiltIn_Print_Area_11_1">#REF!</definedName>
    <definedName name="Excel_BuiltIn_Print_Area_12">#REF!</definedName>
    <definedName name="Excel_BuiltIn_Print_Area_14">#REF!</definedName>
    <definedName name="Excel_BuiltIn_Print_Area_15_1">#REF!</definedName>
    <definedName name="Excel_BuiltIn_Print_Area_16">#REF!</definedName>
    <definedName name="Excel_BuiltIn_Print_Area_16_1">#REF!</definedName>
    <definedName name="Excel_BuiltIn_Print_Area_17_1">#REF!</definedName>
    <definedName name="Excel_BuiltIn_Print_Area_18">#REF!</definedName>
    <definedName name="Excel_BuiltIn_Print_Area_21_1">#REF!</definedName>
    <definedName name="Excel_BuiltIn_Print_Area_23">#REF!</definedName>
    <definedName name="Excel_BuiltIn_Print_Area_26">#REF!</definedName>
    <definedName name="Excel_BuiltIn_Print_Area_26_1">#REF!</definedName>
    <definedName name="Excel_BuiltIn_Print_Area_27">#REF!</definedName>
    <definedName name="Excel_BuiltIn_Print_Area_27_1">#REF!</definedName>
    <definedName name="Excel_BuiltIn_Print_Area_29">#REF!</definedName>
    <definedName name="Excel_BuiltIn_Print_Area_29_1">#REF!</definedName>
    <definedName name="Excel_BuiltIn_Print_Area_3" localSheetId="1">#REF!</definedName>
    <definedName name="Excel_BuiltIn_Print_Area_3">#REF!</definedName>
    <definedName name="Excel_BuiltIn_Print_Area_3_1" localSheetId="1">#REF!</definedName>
    <definedName name="Excel_BuiltIn_Print_Area_3_1">#REF!</definedName>
    <definedName name="Excel_BuiltIn_Print_Area_30_1">#REF!</definedName>
    <definedName name="Excel_BuiltIn_Print_Area_31_1">#REF!</definedName>
    <definedName name="Excel_BuiltIn_Print_Area_4" localSheetId="1">#REF!</definedName>
    <definedName name="Excel_BuiltIn_Print_Area_4">#REF!</definedName>
    <definedName name="Excel_BuiltIn_Print_Area_4_1" localSheetId="1">#REF!</definedName>
    <definedName name="Excel_BuiltIn_Print_Area_4_1">#REF!</definedName>
    <definedName name="Excel_BuiltIn_Print_Area_49">#REF!</definedName>
    <definedName name="Excel_BuiltIn_Print_Area_5_1" localSheetId="1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8">#REF!</definedName>
    <definedName name="Excel_BuiltIn_Print_Area_9_1">#REF!</definedName>
    <definedName name="Excel_BuiltIn_Print_Titles_1">#REF!</definedName>
    <definedName name="Excel_BuiltIn_Print_Titles_1_1">#REF!</definedName>
    <definedName name="Excel_BuiltIn_Print_Titles_10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2" localSheetId="1">#REF!</definedName>
    <definedName name="Excel_BuiltIn_Print_Titles_2">#REF!</definedName>
    <definedName name="Excel_BuiltIn_Print_Titles_2_1" localSheetId="1">#REF!</definedName>
    <definedName name="Excel_BuiltIn_Print_Titles_2_1">#REF!</definedName>
    <definedName name="Excel_BuiltIn_Print_Titles_27">#REF!</definedName>
    <definedName name="Excel_BuiltIn_Print_Titles_3" localSheetId="1">#REF!</definedName>
    <definedName name="Excel_BuiltIn_Print_Titles_3">#REF!</definedName>
    <definedName name="Excel_BuiltIn_Print_Titles_4" localSheetId="1">#REF!</definedName>
    <definedName name="Excel_BuiltIn_Print_Titles_4">#REF!</definedName>
    <definedName name="Excel_BuiltIn_Print_Titles_6_1" localSheetId="1">#REF!</definedName>
    <definedName name="Excel_BuiltIn_Print_Titles_6_1">#REF!</definedName>
    <definedName name="Excel_BuiltIn_Print_Titles_7_1">#REF!</definedName>
    <definedName name="Excel_BuiltIn_Print_Titles_9_1" localSheetId="1">#REF!</definedName>
    <definedName name="Excel_BuiltIn_Print_Titles_9_1">#REF!</definedName>
    <definedName name="EXDED">#REF!</definedName>
    <definedName name="execução">#REF!</definedName>
    <definedName name="Exibir_Dat_Com">#REF!</definedName>
    <definedName name="Exibir_Fer_EUA">#REF!</definedName>
    <definedName name="Exibir_Fer_Nac">#REF!</definedName>
    <definedName name="ExibirTudo">#REF!</definedName>
    <definedName name="ext.">#REF!</definedName>
    <definedName name="Ext.__pista_simples">#REF!</definedName>
    <definedName name="Ext._de_pista_dupla">#REF!</definedName>
    <definedName name="EXT__m">#REF!</definedName>
    <definedName name="Ext_1">#REF!</definedName>
    <definedName name="Ext_2">#REF!</definedName>
    <definedName name="ext_29">#REF!</definedName>
    <definedName name="Ext_3">#REF!</definedName>
    <definedName name="Ext_4">#REF!</definedName>
    <definedName name="Ext_5">#REF!</definedName>
    <definedName name="Ext_6">#REF!</definedName>
    <definedName name="Ext_7">#REF!</definedName>
    <definedName name="Ext_8">#REF!</definedName>
    <definedName name="Ext2_1">#REF!</definedName>
    <definedName name="Ext2_2">#REF!</definedName>
    <definedName name="Ext2_3">#REF!</definedName>
    <definedName name="Ext2_4">#REF!</definedName>
    <definedName name="exte">#REF!</definedName>
    <definedName name="EXTEN">#REF!</definedName>
    <definedName name="Extens">#REF!</definedName>
    <definedName name="Extens_1">#REF!</definedName>
    <definedName name="Extens_3">#REF!</definedName>
    <definedName name="Extens_4">#REF!</definedName>
    <definedName name="Extens_5">#REF!</definedName>
    <definedName name="EXTENSAO" localSheetId="1">#REF!</definedName>
    <definedName name="EXTENSAO">#REF!</definedName>
    <definedName name="Extensão">#REF!</definedName>
    <definedName name="Extensao_1">#REF!</definedName>
    <definedName name="Extensão_1">#REF!</definedName>
    <definedName name="Extensão_14">#REF!</definedName>
    <definedName name="Extensão_15">#REF!</definedName>
    <definedName name="Extensão_17">#REF!</definedName>
    <definedName name="Extensão_2">#REF!</definedName>
    <definedName name="Extensão_21">#REF!</definedName>
    <definedName name="Extensao_3">#REF!</definedName>
    <definedName name="Extensão_3">#REF!</definedName>
    <definedName name="Extensao_4">#REF!</definedName>
    <definedName name="Extensão_4">#REF!</definedName>
    <definedName name="Extensão_4_1">#REF!</definedName>
    <definedName name="Extensão_4_1_2">#REF!</definedName>
    <definedName name="Extensao_5">#REF!</definedName>
    <definedName name="Extensão_8">#REF!</definedName>
    <definedName name="Extensão_9">#REF!</definedName>
    <definedName name="Extensaoo">#REF!</definedName>
    <definedName name="Extenso" localSheetId="1">[0]!Extenso</definedName>
    <definedName name="Extenso">#N/A</definedName>
    <definedName name="Extenso_1" localSheetId="1">#REF!</definedName>
    <definedName name="Extenso_1">#REF!</definedName>
    <definedName name="Extenso_10">#REF!</definedName>
    <definedName name="Extenso_12">#REF!</definedName>
    <definedName name="Extenso_13">#REF!</definedName>
    <definedName name="Extenso_19">#REF!</definedName>
    <definedName name="Extenso_2">#REF!</definedName>
    <definedName name="Extenso_21">#REF!</definedName>
    <definedName name="Extenso_23">#REF!</definedName>
    <definedName name="Extenso_24">#REF!</definedName>
    <definedName name="Extenso_26">#REF!</definedName>
    <definedName name="Extenso_27">#REF!</definedName>
    <definedName name="Extenso_29">#REF!</definedName>
    <definedName name="Extenso_30">#REF!</definedName>
    <definedName name="Extenso_31">#REF!</definedName>
    <definedName name="Extenso_33">#REF!</definedName>
    <definedName name="Extenso_34">#REF!</definedName>
    <definedName name="Extenso_35">#REF!</definedName>
    <definedName name="Extenso_36">#REF!</definedName>
    <definedName name="Extenso_37">#REF!</definedName>
    <definedName name="Extenso_38">#REF!</definedName>
    <definedName name="Extenso_39">#REF!</definedName>
    <definedName name="Extenso_4">#REF!</definedName>
    <definedName name="Extenso_40">#REF!</definedName>
    <definedName name="Extenso_41">#REF!</definedName>
    <definedName name="Extenso_42">#REF!</definedName>
    <definedName name="Extenso_43">#REF!</definedName>
    <definedName name="Extenso_44">#REF!</definedName>
    <definedName name="Extenso_45">#REF!</definedName>
    <definedName name="Extenso_46">#REF!</definedName>
    <definedName name="Extenso_47">#REF!</definedName>
    <definedName name="Extenso_48">#REF!</definedName>
    <definedName name="Extenso_51">#REF!</definedName>
    <definedName name="Extenso_52">#REF!</definedName>
    <definedName name="Extenso_53">#REF!</definedName>
    <definedName name="Extenso_54">#REF!</definedName>
    <definedName name="Extenso_55">#REF!</definedName>
    <definedName name="Extenso_56">#REF!</definedName>
    <definedName name="Extenso_57">#REF!</definedName>
    <definedName name="Extenso_58">#REF!</definedName>
    <definedName name="Extenso_59">#REF!</definedName>
    <definedName name="Extenso_60">#REF!</definedName>
    <definedName name="Extenso_61">#REF!</definedName>
    <definedName name="Extenso_62">#REF!</definedName>
    <definedName name="Extenso_63">#REF!</definedName>
    <definedName name="Extenso_64">#REF!</definedName>
    <definedName name="Extenso_65">#REF!</definedName>
    <definedName name="Extenso_66">#REF!</definedName>
    <definedName name="Extenso_67">#REF!</definedName>
    <definedName name="Extenso_68">#REF!</definedName>
    <definedName name="Extenso_69">#REF!</definedName>
    <definedName name="Extenso_7">#REF!</definedName>
    <definedName name="Extenso_70">#REF!</definedName>
    <definedName name="Extenso_71">#REF!</definedName>
    <definedName name="Extenso_72">#REF!</definedName>
    <definedName name="Extenso_8">#REF!</definedName>
    <definedName name="Extenss">#REF!</definedName>
    <definedName name="ExtFaixa">#REF!</definedName>
    <definedName name="ExtFaixa_1">#REF!</definedName>
    <definedName name="ExtFaixa_2">#REF!</definedName>
    <definedName name="ExtFaixa_3">#REF!</definedName>
    <definedName name="ExtFaixa_4">#REF!</definedName>
    <definedName name="ExtFaixa_5">#REF!</definedName>
    <definedName name="ExtFaixa_6">#REF!</definedName>
    <definedName name="ExtFaixa_7">#REF!</definedName>
    <definedName name="ExtFaixa_8">#REF!</definedName>
    <definedName name="ExtFaixa2">#REF!</definedName>
    <definedName name="ExtFaixa2_1">#REF!</definedName>
    <definedName name="ExtFaixa2_2">#REF!</definedName>
    <definedName name="ExtFaixa2_3">#REF!</definedName>
    <definedName name="ExtFaixa2_4">#REF!</definedName>
    <definedName name="ExtFaixa2_5">#REF!</definedName>
    <definedName name="ExtFaixa22">#REF!</definedName>
    <definedName name="ExtFaixaa">#REF!</definedName>
    <definedName name="EXTRA_CONTRATUAL">#REF!</definedName>
    <definedName name="EXTRA_CONTRATUAL_10">#REF!</definedName>
    <definedName name="EXTRA_CONTRATUAL_10_19">#REF!</definedName>
    <definedName name="EXTRA_CONTRATUAL_17">#REF!</definedName>
    <definedName name="EXTRA_CONTRATUAL_17_19">#REF!</definedName>
    <definedName name="EXTRA_CONTRATUAL_19">#REF!</definedName>
    <definedName name="EXTRA_CONTRATUAL_6">#REF!</definedName>
    <definedName name="EXTRA_CONTRATUAL_6_19">#REF!</definedName>
    <definedName name="EXTRA_CONTRATUAL_7">#REF!</definedName>
    <definedName name="EXTRA_CONTRATUAL_7_19">#REF!</definedName>
    <definedName name="EXTRA_CONTRATUAL_8">#REF!</definedName>
    <definedName name="EXTRA_CONTRATUAL_8_19">#REF!</definedName>
    <definedName name="EXTRA_CONTRATUAL_9">#REF!</definedName>
    <definedName name="EXTRA_CONTRATUAL_9_19">#REF!</definedName>
    <definedName name="Extt">#REF!</definedName>
    <definedName name="ezfrafrf">#REF!</definedName>
    <definedName name="F">#REF!</definedName>
    <definedName name="F_01_120" localSheetId="1">#REF!</definedName>
    <definedName name="F_01_120">#REF!</definedName>
    <definedName name="F_01_150" localSheetId="1">#REF!</definedName>
    <definedName name="F_01_150">#REF!</definedName>
    <definedName name="F_01_180" localSheetId="1">#REF!</definedName>
    <definedName name="F_01_180">#REF!</definedName>
    <definedName name="F_01_210" localSheetId="1">#REF!</definedName>
    <definedName name="F_01_210">#REF!</definedName>
    <definedName name="F_01_240" localSheetId="1">#REF!</definedName>
    <definedName name="F_01_240">#REF!</definedName>
    <definedName name="F_01_270" localSheetId="1">#REF!</definedName>
    <definedName name="F_01_270">#REF!</definedName>
    <definedName name="F_01_30" localSheetId="1">#REF!</definedName>
    <definedName name="F_01_30">#REF!</definedName>
    <definedName name="F_01_300" localSheetId="1">#REF!</definedName>
    <definedName name="F_01_300">#REF!</definedName>
    <definedName name="F_01_330" localSheetId="1">#REF!</definedName>
    <definedName name="F_01_330">#REF!</definedName>
    <definedName name="F_01_360" localSheetId="1">#REF!</definedName>
    <definedName name="F_01_360">#REF!</definedName>
    <definedName name="F_01_390" localSheetId="1">#REF!</definedName>
    <definedName name="F_01_390">#REF!</definedName>
    <definedName name="F_01_420" localSheetId="1">#REF!</definedName>
    <definedName name="F_01_420">#REF!</definedName>
    <definedName name="F_01_450" localSheetId="1">#REF!</definedName>
    <definedName name="F_01_450">#REF!</definedName>
    <definedName name="F_01_480" localSheetId="1">#REF!</definedName>
    <definedName name="F_01_480">#REF!</definedName>
    <definedName name="F_01_510" localSheetId="1">#REF!</definedName>
    <definedName name="F_01_510">#REF!</definedName>
    <definedName name="F_01_540" localSheetId="1">#REF!</definedName>
    <definedName name="F_01_540">#REF!</definedName>
    <definedName name="F_01_570" localSheetId="1">#REF!</definedName>
    <definedName name="F_01_570">#REF!</definedName>
    <definedName name="F_01_60" localSheetId="1">#REF!</definedName>
    <definedName name="F_01_60">#REF!</definedName>
    <definedName name="F_01_600" localSheetId="1">#REF!</definedName>
    <definedName name="F_01_600">#REF!</definedName>
    <definedName name="F_01_630" localSheetId="1">#REF!</definedName>
    <definedName name="F_01_630">#REF!</definedName>
    <definedName name="F_01_660" localSheetId="1">#REF!</definedName>
    <definedName name="F_01_660">#REF!</definedName>
    <definedName name="F_01_690" localSheetId="1">#REF!</definedName>
    <definedName name="F_01_690">#REF!</definedName>
    <definedName name="F_01_720" localSheetId="1">#REF!</definedName>
    <definedName name="F_01_720">#REF!</definedName>
    <definedName name="F_01_90" localSheetId="1">#REF!</definedName>
    <definedName name="F_01_90">#REF!</definedName>
    <definedName name="F_02_120" localSheetId="1">#REF!</definedName>
    <definedName name="F_02_120">#REF!</definedName>
    <definedName name="F_02_150" localSheetId="1">#REF!</definedName>
    <definedName name="F_02_150">#REF!</definedName>
    <definedName name="F_02_180" localSheetId="1">#REF!</definedName>
    <definedName name="F_02_180">#REF!</definedName>
    <definedName name="F_02_210" localSheetId="1">#REF!</definedName>
    <definedName name="F_02_210">#REF!</definedName>
    <definedName name="F_02_240" localSheetId="1">#REF!</definedName>
    <definedName name="F_02_240">#REF!</definedName>
    <definedName name="F_02_270" localSheetId="1">#REF!</definedName>
    <definedName name="F_02_270">#REF!</definedName>
    <definedName name="F_02_30" localSheetId="1">#REF!</definedName>
    <definedName name="F_02_30">#REF!</definedName>
    <definedName name="F_02_300" localSheetId="1">#REF!</definedName>
    <definedName name="F_02_300">#REF!</definedName>
    <definedName name="F_02_330" localSheetId="1">#REF!</definedName>
    <definedName name="F_02_330">#REF!</definedName>
    <definedName name="F_02_360" localSheetId="1">#REF!</definedName>
    <definedName name="F_02_360">#REF!</definedName>
    <definedName name="F_02_390" localSheetId="1">#REF!</definedName>
    <definedName name="F_02_390">#REF!</definedName>
    <definedName name="F_02_420" localSheetId="1">#REF!</definedName>
    <definedName name="F_02_420">#REF!</definedName>
    <definedName name="F_02_450" localSheetId="1">#REF!</definedName>
    <definedName name="F_02_450">#REF!</definedName>
    <definedName name="F_02_480" localSheetId="1">#REF!</definedName>
    <definedName name="F_02_480">#REF!</definedName>
    <definedName name="F_02_510" localSheetId="1">#REF!</definedName>
    <definedName name="F_02_510">#REF!</definedName>
    <definedName name="F_02_540" localSheetId="1">#REF!</definedName>
    <definedName name="F_02_540">#REF!</definedName>
    <definedName name="F_02_570" localSheetId="1">#REF!</definedName>
    <definedName name="F_02_570">#REF!</definedName>
    <definedName name="F_02_60" localSheetId="1">#REF!</definedName>
    <definedName name="F_02_60">#REF!</definedName>
    <definedName name="F_02_600" localSheetId="1">#REF!</definedName>
    <definedName name="F_02_600">#REF!</definedName>
    <definedName name="F_02_630" localSheetId="1">#REF!</definedName>
    <definedName name="F_02_630">#REF!</definedName>
    <definedName name="F_02_660" localSheetId="1">#REF!</definedName>
    <definedName name="F_02_660">#REF!</definedName>
    <definedName name="F_02_690" localSheetId="1">#REF!</definedName>
    <definedName name="F_02_690">#REF!</definedName>
    <definedName name="F_02_720" localSheetId="1">#REF!</definedName>
    <definedName name="F_02_720">#REF!</definedName>
    <definedName name="F_02_90" localSheetId="1">#REF!</definedName>
    <definedName name="F_02_90">#REF!</definedName>
    <definedName name="F_03_120" localSheetId="1">#REF!</definedName>
    <definedName name="F_03_120">#REF!</definedName>
    <definedName name="F_03_150" localSheetId="1">#REF!</definedName>
    <definedName name="F_03_150">#REF!</definedName>
    <definedName name="F_03_180" localSheetId="1">#REF!</definedName>
    <definedName name="F_03_180">#REF!</definedName>
    <definedName name="F_03_210" localSheetId="1">#REF!</definedName>
    <definedName name="F_03_210">#REF!</definedName>
    <definedName name="F_03_240" localSheetId="1">#REF!</definedName>
    <definedName name="F_03_240">#REF!</definedName>
    <definedName name="F_03_270" localSheetId="1">#REF!</definedName>
    <definedName name="F_03_270">#REF!</definedName>
    <definedName name="F_03_30" localSheetId="1">#REF!</definedName>
    <definedName name="F_03_30">#REF!</definedName>
    <definedName name="F_03_300" localSheetId="1">#REF!</definedName>
    <definedName name="F_03_300">#REF!</definedName>
    <definedName name="F_03_330" localSheetId="1">#REF!</definedName>
    <definedName name="F_03_330">#REF!</definedName>
    <definedName name="F_03_360" localSheetId="1">#REF!</definedName>
    <definedName name="F_03_360">#REF!</definedName>
    <definedName name="F_03_390" localSheetId="1">#REF!</definedName>
    <definedName name="F_03_390">#REF!</definedName>
    <definedName name="F_03_420" localSheetId="1">#REF!</definedName>
    <definedName name="F_03_420">#REF!</definedName>
    <definedName name="F_03_450" localSheetId="1">#REF!</definedName>
    <definedName name="F_03_450">#REF!</definedName>
    <definedName name="F_03_480" localSheetId="1">#REF!</definedName>
    <definedName name="F_03_480">#REF!</definedName>
    <definedName name="F_03_510" localSheetId="1">#REF!</definedName>
    <definedName name="F_03_510">#REF!</definedName>
    <definedName name="F_03_540" localSheetId="1">#REF!</definedName>
    <definedName name="F_03_540">#REF!</definedName>
    <definedName name="F_03_570" localSheetId="1">#REF!</definedName>
    <definedName name="F_03_570">#REF!</definedName>
    <definedName name="F_03_60" localSheetId="1">#REF!</definedName>
    <definedName name="F_03_60">#REF!</definedName>
    <definedName name="F_03_600" localSheetId="1">#REF!</definedName>
    <definedName name="F_03_600">#REF!</definedName>
    <definedName name="F_03_630" localSheetId="1">#REF!</definedName>
    <definedName name="F_03_630">#REF!</definedName>
    <definedName name="F_03_660" localSheetId="1">#REF!</definedName>
    <definedName name="F_03_660">#REF!</definedName>
    <definedName name="F_03_690" localSheetId="1">#REF!</definedName>
    <definedName name="F_03_690">#REF!</definedName>
    <definedName name="F_03_720" localSheetId="1">#REF!</definedName>
    <definedName name="F_03_720">#REF!</definedName>
    <definedName name="F_03_90" localSheetId="1">#REF!</definedName>
    <definedName name="F_03_90">#REF!</definedName>
    <definedName name="F_04_120" localSheetId="1">#REF!</definedName>
    <definedName name="F_04_120">#REF!</definedName>
    <definedName name="F_04_150" localSheetId="1">#REF!</definedName>
    <definedName name="F_04_150">#REF!</definedName>
    <definedName name="F_04_180" localSheetId="1">#REF!</definedName>
    <definedName name="F_04_180">#REF!</definedName>
    <definedName name="F_04_210" localSheetId="1">#REF!</definedName>
    <definedName name="F_04_210">#REF!</definedName>
    <definedName name="F_04_240" localSheetId="1">#REF!</definedName>
    <definedName name="F_04_240">#REF!</definedName>
    <definedName name="F_04_270" localSheetId="1">#REF!</definedName>
    <definedName name="F_04_270">#REF!</definedName>
    <definedName name="F_04_30" localSheetId="1">#REF!</definedName>
    <definedName name="F_04_30">#REF!</definedName>
    <definedName name="F_04_300" localSheetId="1">#REF!</definedName>
    <definedName name="F_04_300">#REF!</definedName>
    <definedName name="F_04_330" localSheetId="1">#REF!</definedName>
    <definedName name="F_04_330">#REF!</definedName>
    <definedName name="F_04_360" localSheetId="1">#REF!</definedName>
    <definedName name="F_04_360">#REF!</definedName>
    <definedName name="F_04_390" localSheetId="1">#REF!</definedName>
    <definedName name="F_04_390">#REF!</definedName>
    <definedName name="F_04_420" localSheetId="1">#REF!</definedName>
    <definedName name="F_04_420">#REF!</definedName>
    <definedName name="F_04_450" localSheetId="1">#REF!</definedName>
    <definedName name="F_04_450">#REF!</definedName>
    <definedName name="F_04_480" localSheetId="1">#REF!</definedName>
    <definedName name="F_04_480">#REF!</definedName>
    <definedName name="F_04_510" localSheetId="1">#REF!</definedName>
    <definedName name="F_04_510">#REF!</definedName>
    <definedName name="F_04_540" localSheetId="1">#REF!</definedName>
    <definedName name="F_04_540">#REF!</definedName>
    <definedName name="F_04_570" localSheetId="1">#REF!</definedName>
    <definedName name="F_04_570">#REF!</definedName>
    <definedName name="F_04_60" localSheetId="1">#REF!</definedName>
    <definedName name="F_04_60">#REF!</definedName>
    <definedName name="F_04_600" localSheetId="1">#REF!</definedName>
    <definedName name="F_04_600">#REF!</definedName>
    <definedName name="F_04_630" localSheetId="1">#REF!</definedName>
    <definedName name="F_04_630">#REF!</definedName>
    <definedName name="F_04_660" localSheetId="1">#REF!</definedName>
    <definedName name="F_04_660">#REF!</definedName>
    <definedName name="F_04_690" localSheetId="1">#REF!</definedName>
    <definedName name="F_04_690">#REF!</definedName>
    <definedName name="F_04_720" localSheetId="1">#REF!</definedName>
    <definedName name="F_04_720">#REF!</definedName>
    <definedName name="F_04_90" localSheetId="1">#REF!</definedName>
    <definedName name="F_04_90">#REF!</definedName>
    <definedName name="F_05_120" localSheetId="1">#REF!</definedName>
    <definedName name="F_05_120">#REF!</definedName>
    <definedName name="F_05_150" localSheetId="1">#REF!</definedName>
    <definedName name="F_05_150">#REF!</definedName>
    <definedName name="F_05_180" localSheetId="1">#REF!</definedName>
    <definedName name="F_05_180">#REF!</definedName>
    <definedName name="F_05_210" localSheetId="1">#REF!</definedName>
    <definedName name="F_05_210">#REF!</definedName>
    <definedName name="F_05_240" localSheetId="1">#REF!</definedName>
    <definedName name="F_05_240">#REF!</definedName>
    <definedName name="F_05_270" localSheetId="1">#REF!</definedName>
    <definedName name="F_05_270">#REF!</definedName>
    <definedName name="F_05_30" localSheetId="1">#REF!</definedName>
    <definedName name="F_05_30">#REF!</definedName>
    <definedName name="F_05_300" localSheetId="1">#REF!</definedName>
    <definedName name="F_05_300">#REF!</definedName>
    <definedName name="F_05_330" localSheetId="1">#REF!</definedName>
    <definedName name="F_05_330">#REF!</definedName>
    <definedName name="F_05_360" localSheetId="1">#REF!</definedName>
    <definedName name="F_05_360">#REF!</definedName>
    <definedName name="F_05_390" localSheetId="1">#REF!</definedName>
    <definedName name="F_05_390">#REF!</definedName>
    <definedName name="F_05_420" localSheetId="1">#REF!</definedName>
    <definedName name="F_05_420">#REF!</definedName>
    <definedName name="F_05_450" localSheetId="1">#REF!</definedName>
    <definedName name="F_05_450">#REF!</definedName>
    <definedName name="F_05_480" localSheetId="1">#REF!</definedName>
    <definedName name="F_05_480">#REF!</definedName>
    <definedName name="F_05_510" localSheetId="1">#REF!</definedName>
    <definedName name="F_05_510">#REF!</definedName>
    <definedName name="F_05_540" localSheetId="1">#REF!</definedName>
    <definedName name="F_05_540">#REF!</definedName>
    <definedName name="F_05_570" localSheetId="1">#REF!</definedName>
    <definedName name="F_05_570">#REF!</definedName>
    <definedName name="F_05_60" localSheetId="1">#REF!</definedName>
    <definedName name="F_05_60">#REF!</definedName>
    <definedName name="F_05_600" localSheetId="1">#REF!</definedName>
    <definedName name="F_05_600">#REF!</definedName>
    <definedName name="F_05_630" localSheetId="1">#REF!</definedName>
    <definedName name="F_05_630">#REF!</definedName>
    <definedName name="F_05_660" localSheetId="1">#REF!</definedName>
    <definedName name="F_05_660">#REF!</definedName>
    <definedName name="F_05_690" localSheetId="1">#REF!</definedName>
    <definedName name="F_05_690">#REF!</definedName>
    <definedName name="F_05_720" localSheetId="1">#REF!</definedName>
    <definedName name="F_05_720">#REF!</definedName>
    <definedName name="F_05_90" localSheetId="1">#REF!</definedName>
    <definedName name="F_05_90">#REF!</definedName>
    <definedName name="F_06_120" localSheetId="1">#REF!</definedName>
    <definedName name="F_06_120">#REF!</definedName>
    <definedName name="F_06_150" localSheetId="1">#REF!</definedName>
    <definedName name="F_06_150">#REF!</definedName>
    <definedName name="F_06_180" localSheetId="1">#REF!</definedName>
    <definedName name="F_06_180">#REF!</definedName>
    <definedName name="F_06_210" localSheetId="1">#REF!</definedName>
    <definedName name="F_06_210">#REF!</definedName>
    <definedName name="F_06_240" localSheetId="1">#REF!</definedName>
    <definedName name="F_06_240">#REF!</definedName>
    <definedName name="F_06_270" localSheetId="1">#REF!</definedName>
    <definedName name="F_06_270">#REF!</definedName>
    <definedName name="F_06_30" localSheetId="1">#REF!</definedName>
    <definedName name="F_06_30">#REF!</definedName>
    <definedName name="F_06_300" localSheetId="1">#REF!</definedName>
    <definedName name="F_06_300">#REF!</definedName>
    <definedName name="F_06_330" localSheetId="1">#REF!</definedName>
    <definedName name="F_06_330">#REF!</definedName>
    <definedName name="F_06_360" localSheetId="1">#REF!</definedName>
    <definedName name="F_06_360">#REF!</definedName>
    <definedName name="F_06_390" localSheetId="1">#REF!</definedName>
    <definedName name="F_06_390">#REF!</definedName>
    <definedName name="F_06_420" localSheetId="1">#REF!</definedName>
    <definedName name="F_06_420">#REF!</definedName>
    <definedName name="F_06_450" localSheetId="1">#REF!</definedName>
    <definedName name="F_06_450">#REF!</definedName>
    <definedName name="F_06_480" localSheetId="1">#REF!</definedName>
    <definedName name="F_06_480">#REF!</definedName>
    <definedName name="F_06_510" localSheetId="1">#REF!</definedName>
    <definedName name="F_06_510">#REF!</definedName>
    <definedName name="F_06_540" localSheetId="1">#REF!</definedName>
    <definedName name="F_06_540">#REF!</definedName>
    <definedName name="F_06_570" localSheetId="1">#REF!</definedName>
    <definedName name="F_06_570">#REF!</definedName>
    <definedName name="F_06_60" localSheetId="1">#REF!</definedName>
    <definedName name="F_06_60">#REF!</definedName>
    <definedName name="F_06_600" localSheetId="1">#REF!</definedName>
    <definedName name="F_06_600">#REF!</definedName>
    <definedName name="F_06_630" localSheetId="1">#REF!</definedName>
    <definedName name="F_06_630">#REF!</definedName>
    <definedName name="F_06_660" localSheetId="1">#REF!</definedName>
    <definedName name="F_06_660">#REF!</definedName>
    <definedName name="F_06_690" localSheetId="1">#REF!</definedName>
    <definedName name="F_06_690">#REF!</definedName>
    <definedName name="F_06_720" localSheetId="1">#REF!</definedName>
    <definedName name="F_06_720">#REF!</definedName>
    <definedName name="F_06_90" localSheetId="1">#REF!</definedName>
    <definedName name="F_06_90">#REF!</definedName>
    <definedName name="F_07_120" localSheetId="1">#REF!</definedName>
    <definedName name="F_07_120">#REF!</definedName>
    <definedName name="F_07_150" localSheetId="1">#REF!</definedName>
    <definedName name="F_07_150">#REF!</definedName>
    <definedName name="F_07_180" localSheetId="1">#REF!</definedName>
    <definedName name="F_07_180">#REF!</definedName>
    <definedName name="F_07_210" localSheetId="1">#REF!</definedName>
    <definedName name="F_07_210">#REF!</definedName>
    <definedName name="F_07_240" localSheetId="1">#REF!</definedName>
    <definedName name="F_07_240">#REF!</definedName>
    <definedName name="F_07_270" localSheetId="1">#REF!</definedName>
    <definedName name="F_07_270">#REF!</definedName>
    <definedName name="F_07_30" localSheetId="1">#REF!</definedName>
    <definedName name="F_07_30">#REF!</definedName>
    <definedName name="F_07_300" localSheetId="1">#REF!</definedName>
    <definedName name="F_07_300">#REF!</definedName>
    <definedName name="F_07_330" localSheetId="1">#REF!</definedName>
    <definedName name="F_07_330">#REF!</definedName>
    <definedName name="F_07_360" localSheetId="1">#REF!</definedName>
    <definedName name="F_07_360">#REF!</definedName>
    <definedName name="F_07_390" localSheetId="1">#REF!</definedName>
    <definedName name="F_07_390">#REF!</definedName>
    <definedName name="F_07_420" localSheetId="1">#REF!</definedName>
    <definedName name="F_07_420">#REF!</definedName>
    <definedName name="F_07_450" localSheetId="1">#REF!</definedName>
    <definedName name="F_07_450">#REF!</definedName>
    <definedName name="F_07_480" localSheetId="1">#REF!</definedName>
    <definedName name="F_07_480">#REF!</definedName>
    <definedName name="F_07_510" localSheetId="1">#REF!</definedName>
    <definedName name="F_07_510">#REF!</definedName>
    <definedName name="F_07_540" localSheetId="1">#REF!</definedName>
    <definedName name="F_07_540">#REF!</definedName>
    <definedName name="F_07_570" localSheetId="1">#REF!</definedName>
    <definedName name="F_07_570">#REF!</definedName>
    <definedName name="F_07_60" localSheetId="1">#REF!</definedName>
    <definedName name="F_07_60">#REF!</definedName>
    <definedName name="F_07_600" localSheetId="1">#REF!</definedName>
    <definedName name="F_07_600">#REF!</definedName>
    <definedName name="F_07_630" localSheetId="1">#REF!</definedName>
    <definedName name="F_07_630">#REF!</definedName>
    <definedName name="F_07_660" localSheetId="1">#REF!</definedName>
    <definedName name="F_07_660">#REF!</definedName>
    <definedName name="F_07_690" localSheetId="1">#REF!</definedName>
    <definedName name="F_07_690">#REF!</definedName>
    <definedName name="F_07_720" localSheetId="1">#REF!</definedName>
    <definedName name="F_07_720">#REF!</definedName>
    <definedName name="F_07_90" localSheetId="1">#REF!</definedName>
    <definedName name="F_07_90">#REF!</definedName>
    <definedName name="F_08_120" localSheetId="1">#REF!</definedName>
    <definedName name="F_08_120">#REF!</definedName>
    <definedName name="F_08_150" localSheetId="1">#REF!</definedName>
    <definedName name="F_08_150">#REF!</definedName>
    <definedName name="F_08_180" localSheetId="1">#REF!</definedName>
    <definedName name="F_08_180">#REF!</definedName>
    <definedName name="F_08_210" localSheetId="1">#REF!</definedName>
    <definedName name="F_08_210">#REF!</definedName>
    <definedName name="F_08_240" localSheetId="1">#REF!</definedName>
    <definedName name="F_08_240">#REF!</definedName>
    <definedName name="F_08_270" localSheetId="1">#REF!</definedName>
    <definedName name="F_08_270">#REF!</definedName>
    <definedName name="F_08_30" localSheetId="1">#REF!</definedName>
    <definedName name="F_08_30">#REF!</definedName>
    <definedName name="F_08_300" localSheetId="1">#REF!</definedName>
    <definedName name="F_08_300">#REF!</definedName>
    <definedName name="F_08_330" localSheetId="1">#REF!</definedName>
    <definedName name="F_08_330">#REF!</definedName>
    <definedName name="F_08_360" localSheetId="1">#REF!</definedName>
    <definedName name="F_08_360">#REF!</definedName>
    <definedName name="F_08_390" localSheetId="1">#REF!</definedName>
    <definedName name="F_08_390">#REF!</definedName>
    <definedName name="F_08_420" localSheetId="1">#REF!</definedName>
    <definedName name="F_08_420">#REF!</definedName>
    <definedName name="F_08_450" localSheetId="1">#REF!</definedName>
    <definedName name="F_08_450">#REF!</definedName>
    <definedName name="F_08_480" localSheetId="1">#REF!</definedName>
    <definedName name="F_08_480">#REF!</definedName>
    <definedName name="F_08_510" localSheetId="1">#REF!</definedName>
    <definedName name="F_08_510">#REF!</definedName>
    <definedName name="F_08_540" localSheetId="1">#REF!</definedName>
    <definedName name="F_08_540">#REF!</definedName>
    <definedName name="F_08_570" localSheetId="1">#REF!</definedName>
    <definedName name="F_08_570">#REF!</definedName>
    <definedName name="F_08_60" localSheetId="1">#REF!</definedName>
    <definedName name="F_08_60">#REF!</definedName>
    <definedName name="F_08_600" localSheetId="1">#REF!</definedName>
    <definedName name="F_08_600">#REF!</definedName>
    <definedName name="F_08_630" localSheetId="1">#REF!</definedName>
    <definedName name="F_08_630">#REF!</definedName>
    <definedName name="F_08_660" localSheetId="1">#REF!</definedName>
    <definedName name="F_08_660">#REF!</definedName>
    <definedName name="F_08_690" localSheetId="1">#REF!</definedName>
    <definedName name="F_08_690">#REF!</definedName>
    <definedName name="F_08_720" localSheetId="1">#REF!</definedName>
    <definedName name="F_08_720">#REF!</definedName>
    <definedName name="F_08_90" localSheetId="1">#REF!</definedName>
    <definedName name="F_08_90">#REF!</definedName>
    <definedName name="F_09_120" localSheetId="1">#REF!</definedName>
    <definedName name="F_09_120">#REF!</definedName>
    <definedName name="F_09_150" localSheetId="1">#REF!</definedName>
    <definedName name="F_09_150">#REF!</definedName>
    <definedName name="F_09_180" localSheetId="1">#REF!</definedName>
    <definedName name="F_09_180">#REF!</definedName>
    <definedName name="F_09_210" localSheetId="1">#REF!</definedName>
    <definedName name="F_09_210">#REF!</definedName>
    <definedName name="F_09_240" localSheetId="1">#REF!</definedName>
    <definedName name="F_09_240">#REF!</definedName>
    <definedName name="F_09_270" localSheetId="1">#REF!</definedName>
    <definedName name="F_09_270">#REF!</definedName>
    <definedName name="F_09_30" localSheetId="1">#REF!</definedName>
    <definedName name="F_09_30">#REF!</definedName>
    <definedName name="F_09_300" localSheetId="1">#REF!</definedName>
    <definedName name="F_09_300">#REF!</definedName>
    <definedName name="F_09_330" localSheetId="1">#REF!</definedName>
    <definedName name="F_09_330">#REF!</definedName>
    <definedName name="F_09_360" localSheetId="1">#REF!</definedName>
    <definedName name="F_09_360">#REF!</definedName>
    <definedName name="F_09_390" localSheetId="1">#REF!</definedName>
    <definedName name="F_09_390">#REF!</definedName>
    <definedName name="F_09_420" localSheetId="1">#REF!</definedName>
    <definedName name="F_09_420">#REF!</definedName>
    <definedName name="F_09_450" localSheetId="1">#REF!</definedName>
    <definedName name="F_09_450">#REF!</definedName>
    <definedName name="F_09_480" localSheetId="1">#REF!</definedName>
    <definedName name="F_09_480">#REF!</definedName>
    <definedName name="F_09_510" localSheetId="1">#REF!</definedName>
    <definedName name="F_09_510">#REF!</definedName>
    <definedName name="F_09_540" localSheetId="1">#REF!</definedName>
    <definedName name="F_09_540">#REF!</definedName>
    <definedName name="F_09_570" localSheetId="1">#REF!</definedName>
    <definedName name="F_09_570">#REF!</definedName>
    <definedName name="F_09_60" localSheetId="1">#REF!</definedName>
    <definedName name="F_09_60">#REF!</definedName>
    <definedName name="F_09_600" localSheetId="1">#REF!</definedName>
    <definedName name="F_09_600">#REF!</definedName>
    <definedName name="F_09_630" localSheetId="1">#REF!</definedName>
    <definedName name="F_09_630">#REF!</definedName>
    <definedName name="F_09_660" localSheetId="1">#REF!</definedName>
    <definedName name="F_09_660">#REF!</definedName>
    <definedName name="F_09_690" localSheetId="1">#REF!</definedName>
    <definedName name="F_09_690">#REF!</definedName>
    <definedName name="F_09_720" localSheetId="1">#REF!</definedName>
    <definedName name="F_09_720">#REF!</definedName>
    <definedName name="F_09_90" localSheetId="1">#REF!</definedName>
    <definedName name="F_09_90">#REF!</definedName>
    <definedName name="F_10_120" localSheetId="1">#REF!</definedName>
    <definedName name="F_10_120">#REF!</definedName>
    <definedName name="F_10_150" localSheetId="1">#REF!</definedName>
    <definedName name="F_10_150">#REF!</definedName>
    <definedName name="F_10_180" localSheetId="1">#REF!</definedName>
    <definedName name="F_10_180">#REF!</definedName>
    <definedName name="F_10_210" localSheetId="1">#REF!</definedName>
    <definedName name="F_10_210">#REF!</definedName>
    <definedName name="F_10_240" localSheetId="1">#REF!</definedName>
    <definedName name="F_10_240">#REF!</definedName>
    <definedName name="F_10_270" localSheetId="1">#REF!</definedName>
    <definedName name="F_10_270">#REF!</definedName>
    <definedName name="F_10_30" localSheetId="1">#REF!</definedName>
    <definedName name="F_10_30">#REF!</definedName>
    <definedName name="F_10_300" localSheetId="1">#REF!</definedName>
    <definedName name="F_10_300">#REF!</definedName>
    <definedName name="F_10_330" localSheetId="1">#REF!</definedName>
    <definedName name="F_10_330">#REF!</definedName>
    <definedName name="F_10_360" localSheetId="1">#REF!</definedName>
    <definedName name="F_10_360">#REF!</definedName>
    <definedName name="F_10_390" localSheetId="1">#REF!</definedName>
    <definedName name="F_10_390">#REF!</definedName>
    <definedName name="F_10_420" localSheetId="1">#REF!</definedName>
    <definedName name="F_10_420">#REF!</definedName>
    <definedName name="F_10_450" localSheetId="1">#REF!</definedName>
    <definedName name="F_10_450">#REF!</definedName>
    <definedName name="F_10_480" localSheetId="1">#REF!</definedName>
    <definedName name="F_10_480">#REF!</definedName>
    <definedName name="F_10_510" localSheetId="1">#REF!</definedName>
    <definedName name="F_10_510">#REF!</definedName>
    <definedName name="F_10_540" localSheetId="1">#REF!</definedName>
    <definedName name="F_10_540">#REF!</definedName>
    <definedName name="F_10_570" localSheetId="1">#REF!</definedName>
    <definedName name="F_10_570">#REF!</definedName>
    <definedName name="F_10_60" localSheetId="1">#REF!</definedName>
    <definedName name="F_10_60">#REF!</definedName>
    <definedName name="F_10_600" localSheetId="1">#REF!</definedName>
    <definedName name="F_10_600">#REF!</definedName>
    <definedName name="F_10_630" localSheetId="1">#REF!</definedName>
    <definedName name="F_10_630">#REF!</definedName>
    <definedName name="F_10_660" localSheetId="1">#REF!</definedName>
    <definedName name="F_10_660">#REF!</definedName>
    <definedName name="F_10_690" localSheetId="1">#REF!</definedName>
    <definedName name="F_10_690">#REF!</definedName>
    <definedName name="F_10_720" localSheetId="1">#REF!</definedName>
    <definedName name="F_10_720">#REF!</definedName>
    <definedName name="F_10_90" localSheetId="1">#REF!</definedName>
    <definedName name="F_10_90">#REF!</definedName>
    <definedName name="F_11_120" localSheetId="1">#REF!</definedName>
    <definedName name="F_11_120">#REF!</definedName>
    <definedName name="F_11_150" localSheetId="1">#REF!</definedName>
    <definedName name="F_11_150">#REF!</definedName>
    <definedName name="F_11_180" localSheetId="1">#REF!</definedName>
    <definedName name="F_11_180">#REF!</definedName>
    <definedName name="F_11_210" localSheetId="1">#REF!</definedName>
    <definedName name="F_11_210">#REF!</definedName>
    <definedName name="F_11_240" localSheetId="1">#REF!</definedName>
    <definedName name="F_11_240">#REF!</definedName>
    <definedName name="F_11_270" localSheetId="1">#REF!</definedName>
    <definedName name="F_11_270">#REF!</definedName>
    <definedName name="F_11_30" localSheetId="1">#REF!</definedName>
    <definedName name="F_11_30">#REF!</definedName>
    <definedName name="F_11_300" localSheetId="1">#REF!</definedName>
    <definedName name="F_11_300">#REF!</definedName>
    <definedName name="F_11_330" localSheetId="1">#REF!</definedName>
    <definedName name="F_11_330">#REF!</definedName>
    <definedName name="F_11_360" localSheetId="1">#REF!</definedName>
    <definedName name="F_11_360">#REF!</definedName>
    <definedName name="F_11_390" localSheetId="1">#REF!</definedName>
    <definedName name="F_11_390">#REF!</definedName>
    <definedName name="F_11_420" localSheetId="1">#REF!</definedName>
    <definedName name="F_11_420">#REF!</definedName>
    <definedName name="F_11_450" localSheetId="1">#REF!</definedName>
    <definedName name="F_11_450">#REF!</definedName>
    <definedName name="F_11_480" localSheetId="1">#REF!</definedName>
    <definedName name="F_11_480">#REF!</definedName>
    <definedName name="F_11_510" localSheetId="1">#REF!</definedName>
    <definedName name="F_11_510">#REF!</definedName>
    <definedName name="F_11_540" localSheetId="1">#REF!</definedName>
    <definedName name="F_11_540">#REF!</definedName>
    <definedName name="F_11_570" localSheetId="1">#REF!</definedName>
    <definedName name="F_11_570">#REF!</definedName>
    <definedName name="F_11_60" localSheetId="1">#REF!</definedName>
    <definedName name="F_11_60">#REF!</definedName>
    <definedName name="F_11_600" localSheetId="1">#REF!</definedName>
    <definedName name="F_11_600">#REF!</definedName>
    <definedName name="F_11_630" localSheetId="1">#REF!</definedName>
    <definedName name="F_11_630">#REF!</definedName>
    <definedName name="F_11_660" localSheetId="1">#REF!</definedName>
    <definedName name="F_11_660">#REF!</definedName>
    <definedName name="F_11_690" localSheetId="1">#REF!</definedName>
    <definedName name="F_11_690">#REF!</definedName>
    <definedName name="F_11_720" localSheetId="1">#REF!</definedName>
    <definedName name="F_11_720">#REF!</definedName>
    <definedName name="F_11_90" localSheetId="1">#REF!</definedName>
    <definedName name="F_11_90">#REF!</definedName>
    <definedName name="F_12_120" localSheetId="1">#REF!</definedName>
    <definedName name="F_12_120">#REF!</definedName>
    <definedName name="F_12_150" localSheetId="1">#REF!</definedName>
    <definedName name="F_12_150">#REF!</definedName>
    <definedName name="F_12_180" localSheetId="1">#REF!</definedName>
    <definedName name="F_12_180">#REF!</definedName>
    <definedName name="F_12_210" localSheetId="1">#REF!</definedName>
    <definedName name="F_12_210">#REF!</definedName>
    <definedName name="F_12_240" localSheetId="1">#REF!</definedName>
    <definedName name="F_12_240">#REF!</definedName>
    <definedName name="F_12_270" localSheetId="1">#REF!</definedName>
    <definedName name="F_12_270">#REF!</definedName>
    <definedName name="F_12_30" localSheetId="1">#REF!</definedName>
    <definedName name="F_12_30">#REF!</definedName>
    <definedName name="F_12_300" localSheetId="1">#REF!</definedName>
    <definedName name="F_12_300">#REF!</definedName>
    <definedName name="F_12_330" localSheetId="1">#REF!</definedName>
    <definedName name="F_12_330">#REF!</definedName>
    <definedName name="F_12_360" localSheetId="1">#REF!</definedName>
    <definedName name="F_12_360">#REF!</definedName>
    <definedName name="F_12_390" localSheetId="1">#REF!</definedName>
    <definedName name="F_12_390">#REF!</definedName>
    <definedName name="F_12_420" localSheetId="1">#REF!</definedName>
    <definedName name="F_12_420">#REF!</definedName>
    <definedName name="F_12_450" localSheetId="1">#REF!</definedName>
    <definedName name="F_12_450">#REF!</definedName>
    <definedName name="F_12_480" localSheetId="1">#REF!</definedName>
    <definedName name="F_12_480">#REF!</definedName>
    <definedName name="F_12_510" localSheetId="1">#REF!</definedName>
    <definedName name="F_12_510">#REF!</definedName>
    <definedName name="F_12_540" localSheetId="1">#REF!</definedName>
    <definedName name="F_12_540">#REF!</definedName>
    <definedName name="F_12_570" localSheetId="1">#REF!</definedName>
    <definedName name="F_12_570">#REF!</definedName>
    <definedName name="F_12_60" localSheetId="1">#REF!</definedName>
    <definedName name="F_12_60">#REF!</definedName>
    <definedName name="F_12_600" localSheetId="1">#REF!</definedName>
    <definedName name="F_12_600">#REF!</definedName>
    <definedName name="F_12_630" localSheetId="1">#REF!</definedName>
    <definedName name="F_12_630">#REF!</definedName>
    <definedName name="F_12_660" localSheetId="1">#REF!</definedName>
    <definedName name="F_12_660">#REF!</definedName>
    <definedName name="F_12_690" localSheetId="1">#REF!</definedName>
    <definedName name="F_12_690">#REF!</definedName>
    <definedName name="F_12_720" localSheetId="1">#REF!</definedName>
    <definedName name="F_12_720">#REF!</definedName>
    <definedName name="F_12_90" localSheetId="1">#REF!</definedName>
    <definedName name="F_12_90">#REF!</definedName>
    <definedName name="F_13_120" localSheetId="1">#REF!</definedName>
    <definedName name="F_13_120">#REF!</definedName>
    <definedName name="F_13_150" localSheetId="1">#REF!</definedName>
    <definedName name="F_13_150">#REF!</definedName>
    <definedName name="F_13_180" localSheetId="1">#REF!</definedName>
    <definedName name="F_13_180">#REF!</definedName>
    <definedName name="F_13_210" localSheetId="1">#REF!</definedName>
    <definedName name="F_13_210">#REF!</definedName>
    <definedName name="F_13_240" localSheetId="1">#REF!</definedName>
    <definedName name="F_13_240">#REF!</definedName>
    <definedName name="F_13_270" localSheetId="1">#REF!</definedName>
    <definedName name="F_13_270">#REF!</definedName>
    <definedName name="F_13_30" localSheetId="1">#REF!</definedName>
    <definedName name="F_13_30">#REF!</definedName>
    <definedName name="F_13_300" localSheetId="1">#REF!</definedName>
    <definedName name="F_13_300">#REF!</definedName>
    <definedName name="F_13_330" localSheetId="1">#REF!</definedName>
    <definedName name="F_13_330">#REF!</definedName>
    <definedName name="F_13_360" localSheetId="1">#REF!</definedName>
    <definedName name="F_13_360">#REF!</definedName>
    <definedName name="F_13_390" localSheetId="1">#REF!</definedName>
    <definedName name="F_13_390">#REF!</definedName>
    <definedName name="F_13_420" localSheetId="1">#REF!</definedName>
    <definedName name="F_13_420">#REF!</definedName>
    <definedName name="F_13_450" localSheetId="1">#REF!</definedName>
    <definedName name="F_13_450">#REF!</definedName>
    <definedName name="F_13_480" localSheetId="1">#REF!</definedName>
    <definedName name="F_13_480">#REF!</definedName>
    <definedName name="F_13_510" localSheetId="1">#REF!</definedName>
    <definedName name="F_13_510">#REF!</definedName>
    <definedName name="F_13_540" localSheetId="1">#REF!</definedName>
    <definedName name="F_13_540">#REF!</definedName>
    <definedName name="F_13_570" localSheetId="1">#REF!</definedName>
    <definedName name="F_13_570">#REF!</definedName>
    <definedName name="F_13_60" localSheetId="1">#REF!</definedName>
    <definedName name="F_13_60">#REF!</definedName>
    <definedName name="F_13_600" localSheetId="1">#REF!</definedName>
    <definedName name="F_13_600">#REF!</definedName>
    <definedName name="F_13_630" localSheetId="1">#REF!</definedName>
    <definedName name="F_13_630">#REF!</definedName>
    <definedName name="F_13_660" localSheetId="1">#REF!</definedName>
    <definedName name="F_13_660">#REF!</definedName>
    <definedName name="F_13_690" localSheetId="1">#REF!</definedName>
    <definedName name="F_13_690">#REF!</definedName>
    <definedName name="F_13_720" localSheetId="1">#REF!</definedName>
    <definedName name="F_13_720">#REF!</definedName>
    <definedName name="F_13_90" localSheetId="1">#REF!</definedName>
    <definedName name="F_13_90">#REF!</definedName>
    <definedName name="F_14_120" localSheetId="1">#REF!</definedName>
    <definedName name="F_14_120">#REF!</definedName>
    <definedName name="F_14_150" localSheetId="1">#REF!</definedName>
    <definedName name="F_14_150">#REF!</definedName>
    <definedName name="F_14_180" localSheetId="1">#REF!</definedName>
    <definedName name="F_14_180">#REF!</definedName>
    <definedName name="F_14_210" localSheetId="1">#REF!</definedName>
    <definedName name="F_14_210">#REF!</definedName>
    <definedName name="F_14_240" localSheetId="1">#REF!</definedName>
    <definedName name="F_14_240">#REF!</definedName>
    <definedName name="F_14_270" localSheetId="1">#REF!</definedName>
    <definedName name="F_14_270">#REF!</definedName>
    <definedName name="F_14_30" localSheetId="1">#REF!</definedName>
    <definedName name="F_14_30">#REF!</definedName>
    <definedName name="F_14_300" localSheetId="1">#REF!</definedName>
    <definedName name="F_14_300">#REF!</definedName>
    <definedName name="F_14_330" localSheetId="1">#REF!</definedName>
    <definedName name="F_14_330">#REF!</definedName>
    <definedName name="F_14_360" localSheetId="1">#REF!</definedName>
    <definedName name="F_14_360">#REF!</definedName>
    <definedName name="F_14_390" localSheetId="1">#REF!</definedName>
    <definedName name="F_14_390">#REF!</definedName>
    <definedName name="F_14_420" localSheetId="1">#REF!</definedName>
    <definedName name="F_14_420">#REF!</definedName>
    <definedName name="F_14_450" localSheetId="1">#REF!</definedName>
    <definedName name="F_14_450">#REF!</definedName>
    <definedName name="F_14_480" localSheetId="1">#REF!</definedName>
    <definedName name="F_14_480">#REF!</definedName>
    <definedName name="F_14_510" localSheetId="1">#REF!</definedName>
    <definedName name="F_14_510">#REF!</definedName>
    <definedName name="F_14_540" localSheetId="1">#REF!</definedName>
    <definedName name="F_14_540">#REF!</definedName>
    <definedName name="F_14_570" localSheetId="1">#REF!</definedName>
    <definedName name="F_14_570">#REF!</definedName>
    <definedName name="F_14_60" localSheetId="1">#REF!</definedName>
    <definedName name="F_14_60">#REF!</definedName>
    <definedName name="F_14_600" localSheetId="1">#REF!</definedName>
    <definedName name="F_14_600">#REF!</definedName>
    <definedName name="F_14_630" localSheetId="1">#REF!</definedName>
    <definedName name="F_14_630">#REF!</definedName>
    <definedName name="F_14_660" localSheetId="1">#REF!</definedName>
    <definedName name="F_14_660">#REF!</definedName>
    <definedName name="F_14_690" localSheetId="1">#REF!</definedName>
    <definedName name="F_14_690">#REF!</definedName>
    <definedName name="F_14_720" localSheetId="1">#REF!</definedName>
    <definedName name="F_14_720">#REF!</definedName>
    <definedName name="F_14_90" localSheetId="1">#REF!</definedName>
    <definedName name="F_14_90">#REF!</definedName>
    <definedName name="F_15_120" localSheetId="1">#REF!</definedName>
    <definedName name="F_15_120">#REF!</definedName>
    <definedName name="F_15_150" localSheetId="1">#REF!</definedName>
    <definedName name="F_15_150">#REF!</definedName>
    <definedName name="F_15_180" localSheetId="1">#REF!</definedName>
    <definedName name="F_15_180">#REF!</definedName>
    <definedName name="F_15_210" localSheetId="1">#REF!</definedName>
    <definedName name="F_15_210">#REF!</definedName>
    <definedName name="F_15_240" localSheetId="1">#REF!</definedName>
    <definedName name="F_15_240">#REF!</definedName>
    <definedName name="F_15_270" localSheetId="1">#REF!</definedName>
    <definedName name="F_15_270">#REF!</definedName>
    <definedName name="F_15_30" localSheetId="1">#REF!</definedName>
    <definedName name="F_15_30">#REF!</definedName>
    <definedName name="F_15_300" localSheetId="1">#REF!</definedName>
    <definedName name="F_15_300">#REF!</definedName>
    <definedName name="F_15_330" localSheetId="1">#REF!</definedName>
    <definedName name="F_15_330">#REF!</definedName>
    <definedName name="F_15_360" localSheetId="1">#REF!</definedName>
    <definedName name="F_15_360">#REF!</definedName>
    <definedName name="F_15_390" localSheetId="1">#REF!</definedName>
    <definedName name="F_15_390">#REF!</definedName>
    <definedName name="F_15_420" localSheetId="1">#REF!</definedName>
    <definedName name="F_15_420">#REF!</definedName>
    <definedName name="F_15_450" localSheetId="1">#REF!</definedName>
    <definedName name="F_15_450">#REF!</definedName>
    <definedName name="F_15_480" localSheetId="1">#REF!</definedName>
    <definedName name="F_15_480">#REF!</definedName>
    <definedName name="F_15_510" localSheetId="1">#REF!</definedName>
    <definedName name="F_15_510">#REF!</definedName>
    <definedName name="F_15_540" localSheetId="1">#REF!</definedName>
    <definedName name="F_15_540">#REF!</definedName>
    <definedName name="F_15_570" localSheetId="1">#REF!</definedName>
    <definedName name="F_15_570">#REF!</definedName>
    <definedName name="F_15_60" localSheetId="1">#REF!</definedName>
    <definedName name="F_15_60">#REF!</definedName>
    <definedName name="F_15_600" localSheetId="1">#REF!</definedName>
    <definedName name="F_15_600">#REF!</definedName>
    <definedName name="F_15_630" localSheetId="1">#REF!</definedName>
    <definedName name="F_15_630">#REF!</definedName>
    <definedName name="F_15_660" localSheetId="1">#REF!</definedName>
    <definedName name="F_15_660">#REF!</definedName>
    <definedName name="F_15_690" localSheetId="1">#REF!</definedName>
    <definedName name="F_15_690">#REF!</definedName>
    <definedName name="F_15_720" localSheetId="1">#REF!</definedName>
    <definedName name="F_15_720">#REF!</definedName>
    <definedName name="F_15_90" localSheetId="1">#REF!</definedName>
    <definedName name="F_15_90">#REF!</definedName>
    <definedName name="FA">#REF!</definedName>
    <definedName name="FABRICIO">#REF!</definedName>
    <definedName name="Faixa">#REF!</definedName>
    <definedName name="Faixa_1">#REF!</definedName>
    <definedName name="Faixa_3">#REF!</definedName>
    <definedName name="Faixa_4">#REF!</definedName>
    <definedName name="Faixa_5">#REF!</definedName>
    <definedName name="Faixaa">#REF!</definedName>
    <definedName name="FAL">#REF!</definedName>
    <definedName name="FASDFA">#REF!</definedName>
    <definedName name="Fase_07">#REF!</definedName>
    <definedName name="FATOR" localSheetId="1">#REF!</definedName>
    <definedName name="FATOR">#REF!</definedName>
    <definedName name="FATOR_K">#REF!</definedName>
    <definedName name="FATOR2">#REF!</definedName>
    <definedName name="FATOR3">#REF!</definedName>
    <definedName name="FATOR4">#REF!</definedName>
    <definedName name="FATURAS2002" localSheetId="1">#REF!</definedName>
    <definedName name="FATURAS2002">#REF!</definedName>
    <definedName name="FATURAS20022">#REF!</definedName>
    <definedName name="fc1a">'[3]pro-08'!#REF!</definedName>
    <definedName name="fc1a_10" localSheetId="1">#REF!</definedName>
    <definedName name="fc1a_10">#REF!</definedName>
    <definedName name="fc1a_11">#REF!</definedName>
    <definedName name="fc1a_12">#REF!</definedName>
    <definedName name="fc1a_13">#REF!</definedName>
    <definedName name="fc1a_14">#REF!</definedName>
    <definedName name="fc1a_15">#REF!</definedName>
    <definedName name="fc1a_16">#REF!</definedName>
    <definedName name="fc1a_17">#REF!</definedName>
    <definedName name="fc1a_18">#REF!</definedName>
    <definedName name="fc1a_5">#REF!</definedName>
    <definedName name="fc1a_6">#REF!</definedName>
    <definedName name="fc1a_7">#REF!</definedName>
    <definedName name="fc1a_8">#REF!</definedName>
    <definedName name="fc1a_9">#REF!</definedName>
    <definedName name="FC2A">'[3]pro-08'!#REF!</definedName>
    <definedName name="FC2A_10" localSheetId="1">#REF!</definedName>
    <definedName name="FC2A_10">#REF!</definedName>
    <definedName name="FC2A_11">#REF!</definedName>
    <definedName name="FC2A_12">#REF!</definedName>
    <definedName name="FC2A_13">#REF!</definedName>
    <definedName name="FC2A_14">#REF!</definedName>
    <definedName name="FC2A_15">#REF!</definedName>
    <definedName name="FC2A_16">#REF!</definedName>
    <definedName name="FC2A_17">#REF!</definedName>
    <definedName name="FC2A_18">#REF!</definedName>
    <definedName name="FC2A_5">#REF!</definedName>
    <definedName name="FC2A_6">#REF!</definedName>
    <definedName name="FC2A_7">#REF!</definedName>
    <definedName name="FC2A_8">#REF!</definedName>
    <definedName name="FC2A_9">#REF!</definedName>
    <definedName name="FC3A">'[3]pro-08'!#REF!</definedName>
    <definedName name="FC3A_10" localSheetId="1">#REF!</definedName>
    <definedName name="FC3A_10">#REF!</definedName>
    <definedName name="FC3A_11">#REF!</definedName>
    <definedName name="FC3A_12">#REF!</definedName>
    <definedName name="FC3A_13">#REF!</definedName>
    <definedName name="FC3A_14">#REF!</definedName>
    <definedName name="FC3A_15">#REF!</definedName>
    <definedName name="FC3A_16">#REF!</definedName>
    <definedName name="FC3A_17">#REF!</definedName>
    <definedName name="FC3A_18">#REF!</definedName>
    <definedName name="FC3A_5">#REF!</definedName>
    <definedName name="FC3A_6">#REF!</definedName>
    <definedName name="FC3A_7">#REF!</definedName>
    <definedName name="FC3A_8">#REF!</definedName>
    <definedName name="FC3A_9">#REF!</definedName>
    <definedName name="Fd" localSheetId="1">#REF!</definedName>
    <definedName name="Fd">#REF!</definedName>
    <definedName name="fdf" localSheetId="1" hidden="1">{#N/A,#N/A,FALSE,"MO (2)"}</definedName>
    <definedName name="fdf">{#N/A,#N/A,FALSE,"MO (2)"}</definedName>
    <definedName name="FDF_10" localSheetId="1">#REF!</definedName>
    <definedName name="FDF_10">#REF!</definedName>
    <definedName name="FDF_11">#REF!</definedName>
    <definedName name="FDF_12">#REF!</definedName>
    <definedName name="FDF_13">#REF!</definedName>
    <definedName name="FDF_14">#REF!</definedName>
    <definedName name="FDF_15">#REF!</definedName>
    <definedName name="FDF_16">#REF!</definedName>
    <definedName name="FDF_17">#REF!</definedName>
    <definedName name="FDF_18">#REF!</definedName>
    <definedName name="FDF_2">#REF!</definedName>
    <definedName name="FDF_5">#REF!</definedName>
    <definedName name="FDF_6">#REF!</definedName>
    <definedName name="FDF_7">#REF!</definedName>
    <definedName name="FDF_8">#REF!</definedName>
    <definedName name="FDF_9">#REF!</definedName>
    <definedName name="fdfd" localSheetId="1" hidden="1">{#N/A,#N/A,FALSE,"MO (2)"}</definedName>
    <definedName name="fdfd">{#N/A,#N/A,FALSE,"MO (2)"}</definedName>
    <definedName name="FDFGS" localSheetId="1">#REF!</definedName>
    <definedName name="FDFGS">#REF!</definedName>
    <definedName name="FDFSDFFW">#REF!</definedName>
    <definedName name="FDGD" localSheetId="1">[1]reforma!#REF!</definedName>
    <definedName name="FDGD">[1]reforma!#REF!</definedName>
    <definedName name="fdsafe" localSheetId="1">#REF!</definedName>
    <definedName name="fdsafe">#REF!</definedName>
    <definedName name="FE">#REF!</definedName>
    <definedName name="FERE">#REF!</definedName>
    <definedName name="fernanda" localSheetId="1">#REF!</definedName>
    <definedName name="fernanda">#REF!</definedName>
    <definedName name="fernando">#REF!</definedName>
    <definedName name="ferro" localSheetId="1" hidden="1">{#N/A,#N/A,FALSE,"MO (2)"}</definedName>
    <definedName name="ferro">{#N/A,#N/A,FALSE,"MO (2)"}</definedName>
    <definedName name="Ferro_CA60" localSheetId="1">#REF!</definedName>
    <definedName name="Ferro_CA60">#REF!</definedName>
    <definedName name="FEV">#REF!</definedName>
    <definedName name="FEVA">#REF!</definedName>
    <definedName name="FEVERE">#REF!</definedName>
    <definedName name="FF" localSheetId="1">#REF!</definedName>
    <definedName name="FF">#REF!</definedName>
    <definedName name="FFDSA">#REF!</definedName>
    <definedName name="FFF" localSheetId="1">#REF!</definedName>
    <definedName name="FFF">#REF!</definedName>
    <definedName name="fffffffffffff">#REF!</definedName>
    <definedName name="fffffffffffffff">#REF!</definedName>
    <definedName name="fffg">#REF!</definedName>
    <definedName name="FFVGVBSDAFD">#REF!</definedName>
    <definedName name="fgdfgdfg">#REF!</definedName>
    <definedName name="fge">#REF!</definedName>
    <definedName name="fgff">#REF!</definedName>
    <definedName name="FGFG">#REF!</definedName>
    <definedName name="FGFGF">#REF!</definedName>
    <definedName name="FGFGF_10">#REF!</definedName>
    <definedName name="FGFGF_11">#REF!</definedName>
    <definedName name="FGFGF_12">#REF!</definedName>
    <definedName name="FGFGF_13">#REF!</definedName>
    <definedName name="FGFGF_14">#REF!</definedName>
    <definedName name="FGFGF_15">#REF!</definedName>
    <definedName name="FGFGF_16">#REF!</definedName>
    <definedName name="FGFGF_17">#REF!</definedName>
    <definedName name="FGFGF_18">#REF!</definedName>
    <definedName name="FGFGF_2">#REF!</definedName>
    <definedName name="FGFGF_5">#REF!</definedName>
    <definedName name="FGFGF_6">#REF!</definedName>
    <definedName name="FGFGF_7">#REF!</definedName>
    <definedName name="FGFGF_8">#REF!</definedName>
    <definedName name="FGFGF_9">#REF!</definedName>
    <definedName name="FGGG">#REF!</definedName>
    <definedName name="fgjfghj">#REF!</definedName>
    <definedName name="fgsagvasdf" localSheetId="1">#REF!</definedName>
    <definedName name="fgsagvasdf">#REF!</definedName>
    <definedName name="fgt" localSheetId="1">[1]reforma!#REF!</definedName>
    <definedName name="fgt">[1]reforma!#REF!</definedName>
    <definedName name="filtr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" localSheetId="1">#REF!</definedName>
    <definedName name="Filtro">#REF!</definedName>
    <definedName name="FIM">#REF!</definedName>
    <definedName name="FIM_48">#REF!</definedName>
    <definedName name="fin">#REF!</definedName>
    <definedName name="Finados">#REF!</definedName>
    <definedName name="FINAL" localSheetId="1">#REF!</definedName>
    <definedName name="FINAL">#REF!</definedName>
    <definedName name="FINAL_CM">#REF!</definedName>
    <definedName name="FINAL_RCC">#REF!</definedName>
    <definedName name="FINAL_RM">#REF!</definedName>
    <definedName name="FINAL_RMA">#REF!</definedName>
    <definedName name="FINAL_RMEC">#REF!</definedName>
    <definedName name="FIRMA">#REF!</definedName>
    <definedName name="firma2">#REF!</definedName>
    <definedName name="FLO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" localSheetId="1">#REF!</definedName>
    <definedName name="FLU">#REF!</definedName>
    <definedName name="Fluência">#REF!</definedName>
    <definedName name="fluxo">#REF!</definedName>
    <definedName name="fluxo_10">#REF!</definedName>
    <definedName name="fluxo_11">#REF!</definedName>
    <definedName name="fluxo_12">#REF!</definedName>
    <definedName name="fluxo_13">#REF!</definedName>
    <definedName name="fluxo_14">#REF!</definedName>
    <definedName name="fluxo_15">#REF!</definedName>
    <definedName name="fluxo_16">#REF!</definedName>
    <definedName name="fluxo_17">#REF!</definedName>
    <definedName name="fluxo_18">#REF!</definedName>
    <definedName name="fluxo_5">#REF!</definedName>
    <definedName name="fluxo_6">#REF!</definedName>
    <definedName name="fluxo_7">#REF!</definedName>
    <definedName name="fluxo_8">#REF!</definedName>
    <definedName name="fluxo_9">#REF!</definedName>
    <definedName name="fluxoo">#REF!</definedName>
    <definedName name="FM">#REF!</definedName>
    <definedName name="FMW">#REF!</definedName>
    <definedName name="FMWA">#REF!</definedName>
    <definedName name="folha">#REF!</definedName>
    <definedName name="FOLHA01">#REF!</definedName>
    <definedName name="FOLHA011">#REF!</definedName>
    <definedName name="folha1">#REF!</definedName>
    <definedName name="folha11">#REF!</definedName>
    <definedName name="FOOR">#REF!</definedName>
    <definedName name="Formula" localSheetId="1">#REF!</definedName>
    <definedName name="Formula">#REF!</definedName>
    <definedName name="Formula_1" localSheetId="1">#REF!</definedName>
    <definedName name="Formula_1">#REF!</definedName>
    <definedName name="Formula_10" localSheetId="1">#REF!</definedName>
    <definedName name="Formula_10">#REF!</definedName>
    <definedName name="Formula_2" localSheetId="1">#REF!</definedName>
    <definedName name="Formula_2">#REF!</definedName>
    <definedName name="Formula_3" localSheetId="1">#REF!</definedName>
    <definedName name="Formula_3">#REF!</definedName>
    <definedName name="Formula_4" localSheetId="1">#REF!</definedName>
    <definedName name="Formula_4">#REF!</definedName>
    <definedName name="Formula_5" localSheetId="1">#REF!</definedName>
    <definedName name="Formula_5">#REF!</definedName>
    <definedName name="Formula_5_1" localSheetId="1">#REF!</definedName>
    <definedName name="Formula_5_1">#REF!</definedName>
    <definedName name="Formula_6" localSheetId="1">#REF!</definedName>
    <definedName name="Formula_6">#REF!</definedName>
    <definedName name="FORMULÁRIO">#REF!</definedName>
    <definedName name="FORN_ACESS_EMISS" localSheetId="1">#REF!</definedName>
    <definedName name="FORN_ACESS_EMISS">#REF!</definedName>
    <definedName name="FORN_ACESS_EMISS2_M" localSheetId="1">#REF!</definedName>
    <definedName name="FORN_ACESS_EMISS2_M">#REF!</definedName>
    <definedName name="FORN_ACESS_EMISS3_M" localSheetId="1">#REF!</definedName>
    <definedName name="FORN_ACESS_EMISS3_M">#REF!</definedName>
    <definedName name="FORN_ACESS_REDE_COL" localSheetId="1">#REF!</definedName>
    <definedName name="FORN_ACESS_REDE_COL">#REF!</definedName>
    <definedName name="FORN_ACESSÓRIOS" localSheetId="1">#REF!</definedName>
    <definedName name="FORN_ACESSÓRIOS">#REF!</definedName>
    <definedName name="FORN_CON_EMISS3_M" localSheetId="1">#REF!</definedName>
    <definedName name="FORN_CON_EMISS3_M">#REF!</definedName>
    <definedName name="FORN_CONEX" localSheetId="1">#REF!</definedName>
    <definedName name="FORN_CONEX">#REF!</definedName>
    <definedName name="FORN_CONEX_EMISS" localSheetId="1">#REF!</definedName>
    <definedName name="FORN_CONEX_EMISS">#REF!</definedName>
    <definedName name="FORN_CONEX_PEÇAS" localSheetId="1">#REF!</definedName>
    <definedName name="FORN_CONEX_PEÇAS">#REF!</definedName>
    <definedName name="FORN_PEÇAS_EMISS2_M" localSheetId="1">#REF!</definedName>
    <definedName name="FORN_PEÇAS_EMISS2_M">#REF!</definedName>
    <definedName name="FORN_TUB_EMISS" localSheetId="1">#REF!</definedName>
    <definedName name="FORN_TUB_EMISS">#REF!</definedName>
    <definedName name="FORN_TUB_EMISS2_M" localSheetId="1">#REF!</definedName>
    <definedName name="FORN_TUB_EMISS2_M">#REF!</definedName>
    <definedName name="FORN_TUB_EMISS3_M" localSheetId="1">#REF!</definedName>
    <definedName name="FORN_TUB_EMISS3_M">#REF!</definedName>
    <definedName name="FORN_TUB_REDE_COL" localSheetId="1">#REF!</definedName>
    <definedName name="FORN_TUB_REDE_COL">#REF!</definedName>
    <definedName name="FORN_TUBU" localSheetId="1">#REF!</definedName>
    <definedName name="FORN_TUBU">#REF!</definedName>
    <definedName name="FORNECEDORES">#REF!</definedName>
    <definedName name="fornecer" localSheetId="1">#REF!</definedName>
    <definedName name="fornecer">#REF!</definedName>
    <definedName name="FORRO">#REF!</definedName>
    <definedName name="FORROS">#REF!</definedName>
    <definedName name="fr">#REF!</definedName>
    <definedName name="francis">#REF!</definedName>
    <definedName name="FRANCISCO">#REF!</definedName>
    <definedName name="fre">#REF!</definedName>
    <definedName name="Fresagem">#REF!</definedName>
    <definedName name="Fresagem01">#REF!</definedName>
    <definedName name="Fresagem011">#REF!</definedName>
    <definedName name="FRETE">#REF!</definedName>
    <definedName name="FRR">#REF!</definedName>
    <definedName name="FS">#REF!</definedName>
    <definedName name="FSADFD">#REF!</definedName>
    <definedName name="fthju">#REF!</definedName>
    <definedName name="fuel">#REF!</definedName>
    <definedName name="Função">#REF!</definedName>
    <definedName name="Fundação" localSheetId="1">#REF!</definedName>
    <definedName name="Fundação">#REF!</definedName>
    <definedName name="FUNDACOES">#REF!</definedName>
    <definedName name="fv">#REF!</definedName>
    <definedName name="G_01" localSheetId="1">#REF!</definedName>
    <definedName name="G_01">#REF!</definedName>
    <definedName name="G_02" localSheetId="1">#REF!</definedName>
    <definedName name="G_02">#REF!</definedName>
    <definedName name="G_03" localSheetId="1">#REF!</definedName>
    <definedName name="G_03">#REF!</definedName>
    <definedName name="G_04" localSheetId="1">#REF!</definedName>
    <definedName name="G_04">#REF!</definedName>
    <definedName name="G_05" localSheetId="1">#REF!</definedName>
    <definedName name="G_05">#REF!</definedName>
    <definedName name="G_06" localSheetId="1">#REF!</definedName>
    <definedName name="G_06">#REF!</definedName>
    <definedName name="G_07" localSheetId="1">#REF!</definedName>
    <definedName name="G_07">#REF!</definedName>
    <definedName name="G_08" localSheetId="1">#REF!</definedName>
    <definedName name="G_08">#REF!</definedName>
    <definedName name="G_09" localSheetId="1">#REF!</definedName>
    <definedName name="G_09">#REF!</definedName>
    <definedName name="G_10" localSheetId="1">#REF!</definedName>
    <definedName name="G_10">#REF!</definedName>
    <definedName name="G_11" localSheetId="1">#REF!</definedName>
    <definedName name="G_11">#REF!</definedName>
    <definedName name="G_12" localSheetId="1">#REF!</definedName>
    <definedName name="G_12">#REF!</definedName>
    <definedName name="G_13" localSheetId="1">#REF!</definedName>
    <definedName name="G_13">#REF!</definedName>
    <definedName name="G_14" localSheetId="1">#REF!</definedName>
    <definedName name="G_14">#REF!</definedName>
    <definedName name="G_15" localSheetId="1">#REF!</definedName>
    <definedName name="G_15">#REF!</definedName>
    <definedName name="G_E_O_T_E_C_H_N_I_Q_U_E" localSheetId="1">#REF!</definedName>
    <definedName name="G_E_O_T_E_C_H_N_I_Q_U_E">#REF!</definedName>
    <definedName name="GASES" localSheetId="1">#REF!</definedName>
    <definedName name="GASES">#REF!</definedName>
    <definedName name="GASG" localSheetId="1">#REF!</definedName>
    <definedName name="GASG">#REF!</definedName>
    <definedName name="Gastos_Marajó">#REF!</definedName>
    <definedName name="GE">#REF!</definedName>
    <definedName name="Generos_alimentícios">#REF!</definedName>
    <definedName name="Generos_alimentícios_2">#REF!</definedName>
    <definedName name="george" localSheetId="1">#REF!</definedName>
    <definedName name="george">#REF!</definedName>
    <definedName name="GER" localSheetId="1">#REF!</definedName>
    <definedName name="GER">#REF!</definedName>
    <definedName name="Ger_Tecnico">#REF!</definedName>
    <definedName name="geral" localSheetId="1">#REF!</definedName>
    <definedName name="geral">#REF!</definedName>
    <definedName name="GF">#REF!</definedName>
    <definedName name="GFAGF">#REF!</definedName>
    <definedName name="gfdg">#REF!</definedName>
    <definedName name="gfdgfgs">#REF!</definedName>
    <definedName name="GG" localSheetId="1">#REF!</definedName>
    <definedName name="GG">#REF!</definedName>
    <definedName name="GGDGDG">#REF!</definedName>
    <definedName name="GGG" localSheetId="1">#REF!</definedName>
    <definedName name="GGG">#REF!</definedName>
    <definedName name="GGG_10">#REF!</definedName>
    <definedName name="GGG_11">#REF!</definedName>
    <definedName name="GGG_12">#REF!</definedName>
    <definedName name="GGG_13">#REF!</definedName>
    <definedName name="GGG_14">#REF!</definedName>
    <definedName name="GGG_15">#REF!</definedName>
    <definedName name="GGG_16">#REF!</definedName>
    <definedName name="GGG_17">#REF!</definedName>
    <definedName name="GGG_18">#REF!</definedName>
    <definedName name="GGG_5">#REF!</definedName>
    <definedName name="GGG_6">#REF!</definedName>
    <definedName name="GGG_7">#REF!</definedName>
    <definedName name="GGG_8">#REF!</definedName>
    <definedName name="GGG_9">#REF!</definedName>
    <definedName name="ggggg" localSheetId="1">#REF!</definedName>
    <definedName name="ggggg">#REF!</definedName>
    <definedName name="ghg">#REF!</definedName>
    <definedName name="GHGHHH">#REF!</definedName>
    <definedName name="ghj" localSheetId="1">[1]reforma!#REF!</definedName>
    <definedName name="ghj">[1]reforma!#REF!</definedName>
    <definedName name="giu6lkjhlij" localSheetId="1">#REF!</definedName>
    <definedName name="giu6lkjhlij">#REF!</definedName>
    <definedName name="GP" localSheetId="1">#REF!</definedName>
    <definedName name="GP">#REF!</definedName>
    <definedName name="GRADUADA">#REF!</definedName>
    <definedName name="graf">#REF!</definedName>
    <definedName name="graf_10">#REF!</definedName>
    <definedName name="graf_11">#REF!</definedName>
    <definedName name="graf_12">#REF!</definedName>
    <definedName name="graf_13">#REF!</definedName>
    <definedName name="graf_14">#REF!</definedName>
    <definedName name="graf_15">#REF!</definedName>
    <definedName name="graf_16">#REF!</definedName>
    <definedName name="graf_17">#REF!</definedName>
    <definedName name="graf_18">#REF!</definedName>
    <definedName name="graf_5">#REF!</definedName>
    <definedName name="graf_6">#REF!</definedName>
    <definedName name="graf_7">#REF!</definedName>
    <definedName name="graf_8">#REF!</definedName>
    <definedName name="graf_9">#REF!</definedName>
    <definedName name="graff">#REF!</definedName>
    <definedName name="_xlnm.Recorder">#REF!</definedName>
    <definedName name="GRGRTR">#REF!</definedName>
    <definedName name="grt" localSheetId="1">#REF!</definedName>
    <definedName name="grt">#REF!</definedName>
    <definedName name="GSADF" localSheetId="1">#REF!</definedName>
    <definedName name="GSADF">#REF!</definedName>
    <definedName name="gsdgs">#REF!</definedName>
    <definedName name="gsdgs_10">#REF!</definedName>
    <definedName name="gsdgs_11">#REF!</definedName>
    <definedName name="gsdgs_12">#REF!</definedName>
    <definedName name="gsdgs_13">#REF!</definedName>
    <definedName name="gsdgs_14">#REF!</definedName>
    <definedName name="gsdgs_15">#REF!</definedName>
    <definedName name="gsdgs_16">#REF!</definedName>
    <definedName name="gsdgs_17">#REF!</definedName>
    <definedName name="gsdgs_18">#REF!</definedName>
    <definedName name="gsdgs_2">#REF!</definedName>
    <definedName name="gsdgs_5">#REF!</definedName>
    <definedName name="gsdgs_6">#REF!</definedName>
    <definedName name="gsdgs_7">#REF!</definedName>
    <definedName name="gsdgs_8">#REF!</definedName>
    <definedName name="gsdgs_9">#REF!</definedName>
    <definedName name="gsffgs">#REF!</definedName>
    <definedName name="gt">#REF!</definedName>
    <definedName name="GTRVGBTRC">#REF!</definedName>
    <definedName name="gtryfj">#REF!</definedName>
    <definedName name="gtryfjj">#REF!</definedName>
    <definedName name="guh">#REF!</definedName>
    <definedName name="há" localSheetId="1">#REF!</definedName>
    <definedName name="há">#REF!</definedName>
    <definedName name="HC">#REF!</definedName>
    <definedName name="hdsfavxc">#REF!</definedName>
    <definedName name="HENC">#REF!</definedName>
    <definedName name="HENRIQUE">#REF!</definedName>
    <definedName name="HER">#REF!</definedName>
    <definedName name="HGGF">#REF!</definedName>
    <definedName name="hghg">#REF!</definedName>
    <definedName name="hghgh">#REF!</definedName>
    <definedName name="HH" localSheetId="1">#REF!</definedName>
    <definedName name="HH">#REF!</definedName>
    <definedName name="HHH" localSheetId="1">#REF!</definedName>
    <definedName name="HHH">#REF!</definedName>
    <definedName name="hhhhhhh">#REF!</definedName>
    <definedName name="HHHHHHHHHHHHHHHHHHHHHHHHHHHHHHHHHHHHHHH" localSheetId="1">#REF!</definedName>
    <definedName name="HHHHHHHHHHHHHHHHHHHHHHHHHHHHHHHHHHHHHHH">#REF!</definedName>
    <definedName name="hi" localSheetId="1">#REF!</definedName>
    <definedName name="hi">#REF!</definedName>
    <definedName name="hi_10">#REF!</definedName>
    <definedName name="hi_11">#REF!</definedName>
    <definedName name="hi_12">#REF!</definedName>
    <definedName name="hi_13">#REF!</definedName>
    <definedName name="hi_14">#REF!</definedName>
    <definedName name="hi_15">#REF!</definedName>
    <definedName name="hi_16">#REF!</definedName>
    <definedName name="hi_17">#REF!</definedName>
    <definedName name="hi_18">#REF!</definedName>
    <definedName name="hi_2">#REF!</definedName>
    <definedName name="hi_3">#REF!</definedName>
    <definedName name="hi_4">#REF!</definedName>
    <definedName name="hi_5">#REF!</definedName>
    <definedName name="hi_6">#REF!</definedName>
    <definedName name="hi_7">#REF!</definedName>
    <definedName name="hi_8">#REF!</definedName>
    <definedName name="hi_9">#REF!</definedName>
    <definedName name="hii">#REF!</definedName>
    <definedName name="HJHB">#REF!</definedName>
    <definedName name="HJJJJJJJJJ" localSheetId="1">#REF!</definedName>
    <definedName name="HJJJJJJJJJ">#REF!</definedName>
    <definedName name="HJU" localSheetId="1">[1]reforma!#REF!</definedName>
    <definedName name="HJU">[1]reforma!#REF!</definedName>
    <definedName name="hmngj" localSheetId="1">#REF!</definedName>
    <definedName name="hmngj">#REF!</definedName>
    <definedName name="HMOTO">#REF!</definedName>
    <definedName name="hoje">TODAY()</definedName>
    <definedName name="HOM.7314" localSheetId="1">#REF!</definedName>
    <definedName name="HOM.7314">#REF!</definedName>
    <definedName name="hora">#REF!</definedName>
    <definedName name="horaam">#REF!</definedName>
    <definedName name="horaenc">#REF!</definedName>
    <definedName name="horaseven">#REF!</definedName>
    <definedName name="HP">#REF!</definedName>
    <definedName name="HP.1">#REF!</definedName>
    <definedName name="hrdb">#REF!</definedName>
    <definedName name="hrf">#REF!</definedName>
    <definedName name="HSDFHD">#REF!</definedName>
    <definedName name="hsdjsg">#REF!</definedName>
    <definedName name="HSERV">#REF!</definedName>
    <definedName name="hthj">#REF!</definedName>
    <definedName name="HTIODCIWJRP23">#REF!</definedName>
    <definedName name="HTML_CodePage">1252</definedName>
    <definedName name="HTML_Control" localSheetId="1" hidden="1">{"'Plan1'!$A$8:$F$68","'Plan1'!$A$8:$F$68"}</definedName>
    <definedName name="HTML_Control">{"'Plan1'!$A$8:$F$68","'Plan1'!$A$8:$F$68"}</definedName>
    <definedName name="HTML_Description">""</definedName>
    <definedName name="HTML_Email">""</definedName>
    <definedName name="HTML_Header">"Plan1"</definedName>
    <definedName name="HTML_LastUpdate">"18/01/98"</definedName>
    <definedName name="HTML_LineAfter">FALSE()</definedName>
    <definedName name="HTML_LineBefore">FALSE()</definedName>
    <definedName name="HTML_Name">"Alberto de Castro"</definedName>
    <definedName name="HTML_OBDlg2">TRUE()</definedName>
    <definedName name="HTML_OBDlg4">TRUE()</definedName>
    <definedName name="HTML_OS">0</definedName>
    <definedName name="HTML_PathFile">"C:\MSOffice\Modelos\MeuHTML.htm"</definedName>
    <definedName name="HTML_Title">"UNIDADE SANITÁRIA PADRÃO"</definedName>
    <definedName name="HY" localSheetId="1">#REF!</definedName>
    <definedName name="HY">#REF!</definedName>
    <definedName name="HY_10">#REF!</definedName>
    <definedName name="HY_11">#REF!</definedName>
    <definedName name="HY_12">#REF!</definedName>
    <definedName name="HY_13">#REF!</definedName>
    <definedName name="HY_14">#REF!</definedName>
    <definedName name="HY_15">#REF!</definedName>
    <definedName name="HY_16">#REF!</definedName>
    <definedName name="HY_17">#REF!</definedName>
    <definedName name="HY_18">#REF!</definedName>
    <definedName name="HY_2">#REF!</definedName>
    <definedName name="HY_5">#REF!</definedName>
    <definedName name="HY_6">#REF!</definedName>
    <definedName name="HY_7">#REF!</definedName>
    <definedName name="HY_8">#REF!</definedName>
    <definedName name="HY_9">#REF!</definedName>
    <definedName name="i" localSheetId="1">#REF!</definedName>
    <definedName name="i">#REF!</definedName>
    <definedName name="I_10">#REF!</definedName>
    <definedName name="I_11">#REF!</definedName>
    <definedName name="I_12">#REF!</definedName>
    <definedName name="I_13">#REF!</definedName>
    <definedName name="I_14">#REF!</definedName>
    <definedName name="I_15">#REF!</definedName>
    <definedName name="I_16">#REF!</definedName>
    <definedName name="I_17">#REF!</definedName>
    <definedName name="I_18">#REF!</definedName>
    <definedName name="I_2">#REF!</definedName>
    <definedName name="I_5">#REF!</definedName>
    <definedName name="I_6">#REF!</definedName>
    <definedName name="I_7">#REF!</definedName>
    <definedName name="I_8">#REF!</definedName>
    <definedName name="I_9">#REF!</definedName>
    <definedName name="If" localSheetId="1">#REF!</definedName>
    <definedName name="If">#REF!</definedName>
    <definedName name="II" localSheetId="1">#REF!</definedName>
    <definedName name="II">#REF!</definedName>
    <definedName name="III" localSheetId="1">#REF!</definedName>
    <definedName name="III">#REF!</definedName>
    <definedName name="ILUM">#REF!</definedName>
    <definedName name="Im" localSheetId="1">#REF!</definedName>
    <definedName name="Im">#REF!</definedName>
    <definedName name="IM_2">#REF!</definedName>
    <definedName name="IM_4">#REF!</definedName>
    <definedName name="IMM">#REF!</definedName>
    <definedName name="imp">#REF!</definedName>
    <definedName name="IMP.">#REF!</definedName>
    <definedName name="IMP_2">#REF!</definedName>
    <definedName name="IMP_2_1">#REF!</definedName>
    <definedName name="IMP_2_2">#REF!</definedName>
    <definedName name="IMPANT100">#REF!</definedName>
    <definedName name="IMPANT109">#REF!</definedName>
    <definedName name="IMPANT164">#REF!</definedName>
    <definedName name="IMPANT221">#REF!</definedName>
    <definedName name="IMPANT223">#REF!</definedName>
    <definedName name="IMPANT225">#REF!</definedName>
    <definedName name="IMPANT237">#REF!</definedName>
    <definedName name="IMPANT270">#REF!</definedName>
    <definedName name="IMPANT271">#REF!</definedName>
    <definedName name="IMPANT273">#REF!</definedName>
    <definedName name="IMPANT274">#REF!</definedName>
    <definedName name="IMPANT333">#REF!</definedName>
    <definedName name="IMPANT337">#REF!</definedName>
    <definedName name="IMPANT352">#REF!</definedName>
    <definedName name="IMPANT387ZC">#REF!</definedName>
    <definedName name="IMPANT387ZN">#REF!</definedName>
    <definedName name="IMPANT387ZS">#REF!</definedName>
    <definedName name="IMPANT809">#REF!</definedName>
    <definedName name="IMPANTTOTAL387">#REF!</definedName>
    <definedName name="IMPERMEAB">#REF!</definedName>
    <definedName name="IMPEXE100">#REF!</definedName>
    <definedName name="IMPEXE109">#REF!</definedName>
    <definedName name="IMPEXE164">#REF!</definedName>
    <definedName name="IMPEXE221">#REF!</definedName>
    <definedName name="IMPEXE223">#REF!</definedName>
    <definedName name="IMPEXE225">#REF!</definedName>
    <definedName name="IMPEXE237">#REF!</definedName>
    <definedName name="IMPEXE270">#REF!</definedName>
    <definedName name="IMPEXE271">#REF!</definedName>
    <definedName name="IMPEXE273">#REF!</definedName>
    <definedName name="IMPEXE274">#REF!</definedName>
    <definedName name="IMPEXE333">#REF!</definedName>
    <definedName name="IMPEXE337">#REF!</definedName>
    <definedName name="IMPEXE352">#REF!</definedName>
    <definedName name="IMPEXE387ZC">#REF!</definedName>
    <definedName name="IMPEXE387ZN">#REF!</definedName>
    <definedName name="IMPEXE387ZS">#REF!</definedName>
    <definedName name="IMPEXETOTAL387">#REF!</definedName>
    <definedName name="Import.Item" localSheetId="1">OFFSET([10]Eventograma_e_Quantitativos!$D$18,1,0):OFFSET([10]Eventograma_e_Quantitativos!$D$36,-1,0)</definedName>
    <definedName name="Import.Item">OFFSET([11]Eventograma_e_Quantitativos!$D$18,1,0):OFFSET([11]Eventograma_e_Quantitativos!$D$36,-1,0)</definedName>
    <definedName name="Import.Município" localSheetId="1">[10]DADOS!$D$10</definedName>
    <definedName name="Import.Município">[11]DADOS!$D$10</definedName>
    <definedName name="Import.numEventos" localSheetId="1">OFFSET([10]Eventograma_e_Quantitativos!$K$18,1,0):OFFSET([10]Eventograma_e_Quantitativos!$K$36,-1,0)</definedName>
    <definedName name="Import.numEventos">OFFSET([11]Eventograma_e_Quantitativos!$K$18,1,0):OFFSET([11]Eventograma_e_Quantitativos!$K$36,-1,0)</definedName>
    <definedName name="Import.PLE" localSheetId="1">OFFSET([10]PLE!$E$33,1,0):OFFSET([10]PLE!$BB$37,-1,0)</definedName>
    <definedName name="Import.PLE">OFFSET([11]PLE!$E$33,1,0):OFFSET([11]PLE!$BB$37,-1,0)</definedName>
    <definedName name="Import.PLQ" localSheetId="1">OFFSET([10]Eventograma_e_Quantitativos!$N$18,1,0):OFFSET([10]Eventograma_e_Quantitativos!$BK$36,-1,0)</definedName>
    <definedName name="Import.PLQ">OFFSET([11]Eventograma_e_Quantitativos!$N$18,1,0):OFFSET([11]Eventograma_e_Quantitativos!$BK$36,-1,0)</definedName>
    <definedName name="Import.PreçoTotal" localSheetId="1">OFFSET([10]Eventograma_e_Quantitativos!$I$18,1,0):OFFSET([10]Eventograma_e_Quantitativos!$I$36,-1,0)</definedName>
    <definedName name="Import.PreçoTotal">OFFSET([11]Eventograma_e_Quantitativos!$I$18,1,0):OFFSET([11]Eventograma_e_Quantitativos!$I$36,-1,0)</definedName>
    <definedName name="Import.Unidade" localSheetId="1">OFFSET([10]Eventograma_e_Quantitativos!$F$18,1,0):OFFSET([10]Eventograma_e_Quantitativos!$F$36,-1,0)</definedName>
    <definedName name="Import.Unidade">OFFSET([11]Eventograma_e_Quantitativos!$F$18,1,0):OFFSET([11]Eventograma_e_Quantitativos!$F$36,-1,0)</definedName>
    <definedName name="IMPP" localSheetId="1">#REF!</definedName>
    <definedName name="IMPP">#REF!</definedName>
    <definedName name="impress">#REF!</definedName>
    <definedName name="IMPRESSÃO">#REF!</definedName>
    <definedName name="Impresso">#REF!</definedName>
    <definedName name="IMPRIMAÇÃO">#REF!</definedName>
    <definedName name="Indep_Nac">#REF!</definedName>
    <definedName name="indiceanterior">#REF!</definedName>
    <definedName name="Indiceantigo">#REF!</definedName>
    <definedName name="indiceatual">#REF!</definedName>
    <definedName name="InhaltsvezSUMMEN" localSheetId="1">#REF!</definedName>
    <definedName name="InhaltsvezSUMMEN">#REF!</definedName>
    <definedName name="iniaterro">#REF!</definedName>
    <definedName name="INSS">#REF!</definedName>
    <definedName name="Inst_elétricas" localSheetId="1">#REF!</definedName>
    <definedName name="Inst_elétricas">#REF!</definedName>
    <definedName name="Inst_hidráulicas" localSheetId="1">#REF!</definedName>
    <definedName name="Inst_hidráulicas">#REF!</definedName>
    <definedName name="INST_PROVISÓRIAS" localSheetId="1">#REF!</definedName>
    <definedName name="INST_PROVISÓRIAS">#REF!</definedName>
    <definedName name="Inst_sanitárias" localSheetId="1">#REF!</definedName>
    <definedName name="Inst_sanitárias">#REF!</definedName>
    <definedName name="INSTELET">#REF!</definedName>
    <definedName name="INSTHIDRA">#REF!</definedName>
    <definedName name="insumos" localSheetId="1">#REF!</definedName>
    <definedName name="insumos">#REF!</definedName>
    <definedName name="INTE">#REF!</definedName>
    <definedName name="Io" localSheetId="1">#REF!</definedName>
    <definedName name="Io">#REF!</definedName>
    <definedName name="IOUIOHIO">#REF!</definedName>
    <definedName name="ISS" localSheetId="1">#REF!</definedName>
    <definedName name="ISS">#REF!</definedName>
    <definedName name="ISSQN">#REF!</definedName>
    <definedName name="IT" localSheetId="1">#REF!</definedName>
    <definedName name="IT">#REF!</definedName>
    <definedName name="ITALO">#REF!</definedName>
    <definedName name="Item" localSheetId="1">#REF!</definedName>
    <definedName name="Item">#REF!</definedName>
    <definedName name="item12.0" localSheetId="1">#REF!</definedName>
    <definedName name="item12.0">#REF!</definedName>
    <definedName name="Itemm" localSheetId="1">#REF!</definedName>
    <definedName name="Itemm">#REF!</definedName>
    <definedName name="Itens">#REF!</definedName>
    <definedName name="J" localSheetId="1">#REF!</definedName>
    <definedName name="J">#REF!</definedName>
    <definedName name="j_10">#REF!</definedName>
    <definedName name="j_11">#REF!</definedName>
    <definedName name="j_12">#REF!</definedName>
    <definedName name="j_13">#REF!</definedName>
    <definedName name="j_14">#REF!</definedName>
    <definedName name="j_15">#REF!</definedName>
    <definedName name="j_16">#REF!</definedName>
    <definedName name="j_17">#REF!</definedName>
    <definedName name="j_18">#REF!</definedName>
    <definedName name="j_2">#REF!</definedName>
    <definedName name="j_5">#REF!</definedName>
    <definedName name="j_6">#REF!</definedName>
    <definedName name="j_7">#REF!</definedName>
    <definedName name="j_8">#REF!</definedName>
    <definedName name="j_9">#REF!</definedName>
    <definedName name="JAMESON">#REF!</definedName>
    <definedName name="JANA">#REF!</definedName>
    <definedName name="Janeiro">#REF!</definedName>
    <definedName name="JANEIRO2003">#REF!</definedName>
    <definedName name="JANEIRO20033">#REF!</definedName>
    <definedName name="jazida">#REF!</definedName>
    <definedName name="Jd" localSheetId="1">#REF!</definedName>
    <definedName name="Jd">#REF!</definedName>
    <definedName name="JDJKNK">#REF!</definedName>
    <definedName name="JEAN">#REF!</definedName>
    <definedName name="JESUS" localSheetId="1">'[12]refor out_ 2001 _ bdi_20_ ajust'!#REF!</definedName>
    <definedName name="JESUS">'[12]refor out_ 2001 _ bdi_20_ ajust'!#REF!</definedName>
    <definedName name="jhjdf" localSheetId="1">#REF!</definedName>
    <definedName name="jhjdf">#REF!</definedName>
    <definedName name="JHJHJ" localSheetId="1" hidden="1">{#N/A,#N/A,FALSE,"MO (2)"}</definedName>
    <definedName name="JHJHJ">{#N/A,#N/A,FALSE,"MO (2)"}</definedName>
    <definedName name="JJ" localSheetId="1">#REF!</definedName>
    <definedName name="JJ">#REF!</definedName>
    <definedName name="JJJ" localSheetId="1">#REF!</definedName>
    <definedName name="JJJ">#REF!</definedName>
    <definedName name="jjjjj">#REF!</definedName>
    <definedName name="jjjjjjjjj">#REF!</definedName>
    <definedName name="jkjkj">#REF!</definedName>
    <definedName name="jkl">#REF!</definedName>
    <definedName name="jklfhsiure564y68909" localSheetId="1">#REF!</definedName>
    <definedName name="jklfhsiure564y68909">#REF!</definedName>
    <definedName name="Jm" localSheetId="1">#REF!</definedName>
    <definedName name="Jm">#REF!</definedName>
    <definedName name="jN">#REF!</definedName>
    <definedName name="joa">#REF!</definedName>
    <definedName name="JOI">#REF!</definedName>
    <definedName name="JOSE">#REF!</definedName>
    <definedName name="jruj5">#REF!</definedName>
    <definedName name="JSHDFBDS">#REF!</definedName>
    <definedName name="JUG" localSheetId="1">[1]reforma!#REF!</definedName>
    <definedName name="JUG">[1]reforma!#REF!</definedName>
    <definedName name="JUGBNK" localSheetId="1">#REF!</definedName>
    <definedName name="JUGBNK">#REF!</definedName>
    <definedName name="JULA">#REF!</definedName>
    <definedName name="JUNA">#REF!</definedName>
    <definedName name="JUNIOR">#REF!</definedName>
    <definedName name="k" localSheetId="1">#REF!</definedName>
    <definedName name="k">#REF!</definedName>
    <definedName name="K1_" localSheetId="1">#REF!</definedName>
    <definedName name="K1_">#REF!</definedName>
    <definedName name="K2_" localSheetId="1">#REF!</definedName>
    <definedName name="K2_">#REF!</definedName>
    <definedName name="K3_" localSheetId="1">#REF!</definedName>
    <definedName name="K3_">#REF!</definedName>
    <definedName name="KDI..8807">#REF!</definedName>
    <definedName name="KDI.8807">#REF!</definedName>
    <definedName name="key" localSheetId="1" hidden="1">#REF!</definedName>
    <definedName name="key">#REF!</definedName>
    <definedName name="kf">#REF!</definedName>
    <definedName name="ki">#REF!</definedName>
    <definedName name="kj">#REF!</definedName>
    <definedName name="kjkhjkh">#REF!</definedName>
    <definedName name="kk">#REF!</definedName>
    <definedName name="KKK" localSheetId="1">#REF!</definedName>
    <definedName name="KKK">#REF!</definedName>
    <definedName name="KKKKK">#REF!</definedName>
    <definedName name="kkkkkkkkk">#REF!</definedName>
    <definedName name="KLAGHOLGA" localSheetId="1">#REF!</definedName>
    <definedName name="KLAGHOLGA">#REF!</definedName>
    <definedName name="KLKLK">#REF!</definedName>
    <definedName name="km">#REF!</definedName>
    <definedName name="KM.406.407">#REF!</definedName>
    <definedName name="koae" localSheetId="1">#REF!</definedName>
    <definedName name="koae">#REF!</definedName>
    <definedName name="kpavi" localSheetId="1">#REF!</definedName>
    <definedName name="kpavi">#REF!</definedName>
    <definedName name="kterra" localSheetId="1">#REF!</definedName>
    <definedName name="kterra">#REF!</definedName>
    <definedName name="kwh">#REF!</definedName>
    <definedName name="la">#REF!</definedName>
    <definedName name="lab">#REF!</definedName>
    <definedName name="labb">#REF!</definedName>
    <definedName name="LADO">#REF!</definedName>
    <definedName name="LAG">#REF!</definedName>
    <definedName name="LAG_2">#REF!</definedName>
    <definedName name="LAMAG">#REF!</definedName>
    <definedName name="LAPIS" localSheetId="1">#REF!</definedName>
    <definedName name="LAPIS">#REF!</definedName>
    <definedName name="LARG">#REF!</definedName>
    <definedName name="Largura_da_Faixa_de_Tráfego___...........">#REF!</definedName>
    <definedName name="LARGURAS" localSheetId="1">#REF!</definedName>
    <definedName name="LARGURAS">#REF!</definedName>
    <definedName name="LASTRO_CONCRETO" localSheetId="1">#REF!</definedName>
    <definedName name="LASTRO_CONCRETO">#REF!</definedName>
    <definedName name="LASTRO_EMISS3_S" localSheetId="1">#REF!</definedName>
    <definedName name="LASTRO_EMISS3_S">#REF!</definedName>
    <definedName name="LBU">#REF!</definedName>
    <definedName name="LD">#REF!</definedName>
    <definedName name="LDA">#REF!</definedName>
    <definedName name="LDI" localSheetId="1">#REF!</definedName>
    <definedName name="LDI">#REF!</definedName>
    <definedName name="LDIANTIGO">#REF!</definedName>
    <definedName name="LDIATUAL">#REF!</definedName>
    <definedName name="ldnfkljsndf">#REF!</definedName>
    <definedName name="Lei" localSheetId="1" hidden="1">#REF!</definedName>
    <definedName name="Lei">#REF!</definedName>
    <definedName name="Leis" localSheetId="1">#REF!</definedName>
    <definedName name="Leis">#REF!</definedName>
    <definedName name="Leste">#REF!</definedName>
    <definedName name="LForçamento" localSheetId="1">OFFSET([10]Eventograma_e_Quantitativos!$36:$36,-1,0)</definedName>
    <definedName name="LForçamento">OFFSET([11]Eventograma_e_Quantitativos!$A$36:$IV$36,-1,0)</definedName>
    <definedName name="LI" localSheetId="1">#REF!</definedName>
    <definedName name="LI">#REF!</definedName>
    <definedName name="lias">#REF!</definedName>
    <definedName name="Lider_Oper">#REF!</definedName>
    <definedName name="lig">#REF!</definedName>
    <definedName name="LIG_PRED_SERV" localSheetId="1">#REF!</definedName>
    <definedName name="LIG_PRED_SERV">#REF!</definedName>
    <definedName name="LIG_PREDIAIS_MAT" localSheetId="1">#REF!</definedName>
    <definedName name="LIG_PREDIAIS_MAT">#REF!</definedName>
    <definedName name="LIGAÇÃO_PREDIAL_MATERIAL">'[16]ligação predial'!$H$19</definedName>
    <definedName name="LIGAÇÃO_PREDIAL_SERVIÇOS">'[16]ligação predial'!$H$9</definedName>
    <definedName name="LIGAÇÕES" localSheetId="1">#REF!</definedName>
    <definedName name="LIGAÇÕES">#REF!</definedName>
    <definedName name="LILASDRENA" localSheetId="1">#REF!</definedName>
    <definedName name="LILASDRENA">#REF!</definedName>
    <definedName name="LILASDRENA_2">#REF!</definedName>
    <definedName name="LILASDRENA_4">#REF!</definedName>
    <definedName name="LILASDRENAA">#REF!</definedName>
    <definedName name="lim">#REF!</definedName>
    <definedName name="LIMITADOR">#REF!</definedName>
    <definedName name="LIMPEOBRA">#REF!</definedName>
    <definedName name="Limpeza">#REF!</definedName>
    <definedName name="LINE">#REF!</definedName>
    <definedName name="LINHA">#REF!</definedName>
    <definedName name="linha2">#REF!</definedName>
    <definedName name="LIorçamento" localSheetId="1">OFFSET([10]Eventograma_e_Quantitativos!$18:$18,1,0)</definedName>
    <definedName name="LIorçamento">OFFSET([11]Eventograma_e_Quantitativos!$A$18:$IV$18,1,0)</definedName>
    <definedName name="lista" localSheetId="1">#REF!</definedName>
    <definedName name="lista">#REF!</definedName>
    <definedName name="ljashdkj">#REF!</definedName>
    <definedName name="lk">#REF!</definedName>
    <definedName name="LL" localSheetId="1">#REF!</definedName>
    <definedName name="LL">#REF!</definedName>
    <definedName name="LLL" localSheetId="1">#REF!</definedName>
    <definedName name="LLL">#REF!</definedName>
    <definedName name="lo">#REF!</definedName>
    <definedName name="LOC">#REF!</definedName>
    <definedName name="LOC_EMISS3" localSheetId="1">#REF!</definedName>
    <definedName name="LOC_EMISS3">#REF!</definedName>
    <definedName name="LOCAÇÃO" localSheetId="1">#REF!</definedName>
    <definedName name="LOCAÇÃO">#REF!</definedName>
    <definedName name="LOCAÇÃO_EMISS" localSheetId="1">#REF!</definedName>
    <definedName name="LOCAÇÃO_EMISS">#REF!</definedName>
    <definedName name="LOCAÇÃO_EMISS2" localSheetId="1">#REF!</definedName>
    <definedName name="LOCAÇÃO_EMISS2">#REF!</definedName>
    <definedName name="Local" localSheetId="1">#REF!</definedName>
    <definedName name="Local">#REF!</definedName>
    <definedName name="LOCALOBRA">#REF!</definedName>
    <definedName name="lot">#REF!</definedName>
    <definedName name="Lote">#REF!</definedName>
    <definedName name="LOTES" localSheetId="1">#REF!</definedName>
    <definedName name="LOTES">#REF!</definedName>
    <definedName name="Louças_acessórios" localSheetId="1">#REF!</definedName>
    <definedName name="Louças_acessórios">#REF!</definedName>
    <definedName name="LP">#REF!</definedName>
    <definedName name="LPTE">#REF!</definedName>
    <definedName name="LPW">#REF!</definedName>
    <definedName name="LPWA">#REF!</definedName>
    <definedName name="LS" localSheetId="1">#REF!</definedName>
    <definedName name="LS">#REF!</definedName>
    <definedName name="LSIND">#REF!</definedName>
    <definedName name="LSMF">#REF!</definedName>
    <definedName name="LSW">#REF!</definedName>
    <definedName name="LSWA">#REF!</definedName>
    <definedName name="Lucro" localSheetId="1">#REF!</definedName>
    <definedName name="Lucro">#REF!</definedName>
    <definedName name="LVC">#REF!</definedName>
    <definedName name="LVD">#REF!</definedName>
    <definedName name="m" localSheetId="1">#REF!</definedName>
    <definedName name="m">#REF!</definedName>
    <definedName name="MACIO" localSheetId="1">#REF!</definedName>
    <definedName name="MACIO">#REF!</definedName>
    <definedName name="maconha" localSheetId="1">#REF!</definedName>
    <definedName name="maconha">#REF!</definedName>
    <definedName name="MACONHA2" localSheetId="1">#REF!</definedName>
    <definedName name="MACONHA2">#REF!</definedName>
    <definedName name="MACROS" localSheetId="1">#REF!</definedName>
    <definedName name="MACROS">#REF!</definedName>
    <definedName name="mais" localSheetId="1">#REF!</definedName>
    <definedName name="mais">#REF!</definedName>
    <definedName name="mais_um" localSheetId="1">OFFSET([10]Detalhamento!A1,-1,0)+1</definedName>
    <definedName name="mais_um">OFFSET([11]Detalhamento!A1,-1,0)+1</definedName>
    <definedName name="MANOS" localSheetId="1">#REF!</definedName>
    <definedName name="MANOS">#REF!</definedName>
    <definedName name="MAPA">#REF!</definedName>
    <definedName name="Mapas">#REF!</definedName>
    <definedName name="MAR" localSheetId="1">[1]reforma!#REF!</definedName>
    <definedName name="MAR">[1]reforma!#REF!</definedName>
    <definedName name="MARA" localSheetId="1">#REF!</definedName>
    <definedName name="MARA">#REF!</definedName>
    <definedName name="MARCAMOD">#REF!</definedName>
    <definedName name="Marcio" localSheetId="1">#REF!</definedName>
    <definedName name="Marcio">#REF!</definedName>
    <definedName name="marcos">#REF!</definedName>
    <definedName name="mario" localSheetId="1">#REF!</definedName>
    <definedName name="mario">#REF!</definedName>
    <definedName name="Massa">#REF!</definedName>
    <definedName name="MAT" localSheetId="1">#REF!</definedName>
    <definedName name="MAT">#REF!</definedName>
    <definedName name="materiais" localSheetId="1">[1]reforma!#REF!</definedName>
    <definedName name="materiais">[1]reforma!#REF!</definedName>
    <definedName name="material" localSheetId="1">#REF!</definedName>
    <definedName name="material">#REF!</definedName>
    <definedName name="material_4">#REF!</definedName>
    <definedName name="material_4_2">#REF!</definedName>
    <definedName name="material_6">#REF!</definedName>
    <definedName name="material_6_2">#REF!</definedName>
    <definedName name="material_7">#REF!</definedName>
    <definedName name="material_7_2">#REF!</definedName>
    <definedName name="material_8">#REF!</definedName>
    <definedName name="material_8_2">#REF!</definedName>
    <definedName name="material_9">#REF!</definedName>
    <definedName name="material_9_2">#REF!</definedName>
    <definedName name="MATERIAS">#REF!</definedName>
    <definedName name="MATRIZ_DE_RESPONSABILIDADE">#REF!</definedName>
    <definedName name="MATRIZlimpa" localSheetId="1">#REF!</definedName>
    <definedName name="MATRIZlimpa">#REF!</definedName>
    <definedName name="Max">#REF!</definedName>
    <definedName name="Máximo" localSheetId="1">{"'Índice'!$A$1:$K$49"}</definedName>
    <definedName name="Máximo">{"'Índice'!$A$1:$K$49"}</definedName>
    <definedName name="MB" localSheetId="1">#REF!</definedName>
    <definedName name="MB">#REF!</definedName>
    <definedName name="MBF">#REF!</definedName>
    <definedName name="MBQ">#REF!</definedName>
    <definedName name="MBQA">#REF!</definedName>
    <definedName name="MBQT">#REF!</definedName>
    <definedName name="MBR">#REF!</definedName>
    <definedName name="MBUF">#REF!</definedName>
    <definedName name="MBUFW">#REF!</definedName>
    <definedName name="MBUFWA">#REF!</definedName>
    <definedName name="mbuq">#REF!</definedName>
    <definedName name="MBUQW">#REF!</definedName>
    <definedName name="MBUQWA">#REF!</definedName>
    <definedName name="MCSDLOEP" localSheetId="1">#REF!</definedName>
    <definedName name="MCSDLOEP">#REF!</definedName>
    <definedName name="MD">#REF!</definedName>
    <definedName name="MED">#REF!</definedName>
    <definedName name="MEDD">#REF!</definedName>
    <definedName name="mediçao" localSheetId="1">[10]PLE!$AX$28</definedName>
    <definedName name="mediçao">[11]PLE!$AX$28</definedName>
    <definedName name="Medição" localSheetId="1">#REF!</definedName>
    <definedName name="Medição">#REF!</definedName>
    <definedName name="Medição_2" localSheetId="1">#REF!</definedName>
    <definedName name="Medição_2">#REF!</definedName>
    <definedName name="Medição_4">#REF!</definedName>
    <definedName name="MEDICAO7">#REF!</definedName>
    <definedName name="Mediçãoo">#REF!</definedName>
    <definedName name="Medições" localSheetId="1">[10]PLE!$B$37:$BB$44</definedName>
    <definedName name="Medições">[11]PLE!$B$37:$BB$44</definedName>
    <definedName name="medidas" localSheetId="1">#REF!</definedName>
    <definedName name="medidas">#REF!</definedName>
    <definedName name="MedMês95" localSheetId="1">#REF!</definedName>
    <definedName name="MedMês95">#REF!</definedName>
    <definedName name="MEIO_FIO" localSheetId="1">#REF!</definedName>
    <definedName name="MEIO_FIO">#REF!</definedName>
    <definedName name="melhoria">#REF!</definedName>
    <definedName name="MEMORIA" localSheetId="1">#REF!</definedName>
    <definedName name="MEMORIA">#REF!</definedName>
    <definedName name="MEMÓRIACAMPO2" localSheetId="1">[0]!MEMÓRIACAMPO2</definedName>
    <definedName name="MEMÓRIACAMPO2">#N/A</definedName>
    <definedName name="menos" localSheetId="1">#REF!</definedName>
    <definedName name="menos">#REF!</definedName>
    <definedName name="mês">#REF!</definedName>
    <definedName name="MESALOA" localSheetId="1">#REF!</definedName>
    <definedName name="MESALOA">#REF!</definedName>
    <definedName name="Meses">#REF!</definedName>
    <definedName name="Meu" localSheetId="1">#REF!</definedName>
    <definedName name="Meu">#REF!</definedName>
    <definedName name="MF">#REF!</definedName>
    <definedName name="MFio">#REF!</definedName>
    <definedName name="MG">#REF!</definedName>
    <definedName name="MGUG">#REF!</definedName>
    <definedName name="MGUG_10">#REF!</definedName>
    <definedName name="MGUG_11">#REF!</definedName>
    <definedName name="MGUG_12">#REF!</definedName>
    <definedName name="MGUG_13">#REF!</definedName>
    <definedName name="MGUG_14">#REF!</definedName>
    <definedName name="MGUG_15">#REF!</definedName>
    <definedName name="MGUG_16">#REF!</definedName>
    <definedName name="MGUG_17">#REF!</definedName>
    <definedName name="MGUG_18">#REF!</definedName>
    <definedName name="MGUG_2">#REF!</definedName>
    <definedName name="MGUG_5">#REF!</definedName>
    <definedName name="MGUG_6">#REF!</definedName>
    <definedName name="MGUG_7">#REF!</definedName>
    <definedName name="MGUG_8">#REF!</definedName>
    <definedName name="MGUG_9">#REF!</definedName>
    <definedName name="MICHAEL" localSheetId="1">#REF!</definedName>
    <definedName name="MICHAEL">#REF!</definedName>
    <definedName name="Micro">#REF!</definedName>
    <definedName name="min." localSheetId="1">#REF!</definedName>
    <definedName name="min.">#REF!</definedName>
    <definedName name="MIOJUF">#REF!</definedName>
    <definedName name="MKJI" localSheetId="1">[1]reforma!#REF!</definedName>
    <definedName name="MKJI">[1]reforma!#REF!</definedName>
    <definedName name="M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M" localSheetId="1">#REF!</definedName>
    <definedName name="MMM">#REF!</definedName>
    <definedName name="mmmm">#REF!</definedName>
    <definedName name="MMMMM">#REF!</definedName>
    <definedName name="MMMMMM" localSheetId="1">[1]reforma!#REF!</definedName>
    <definedName name="MMMMMM">[1]reforma!#REF!</definedName>
    <definedName name="MNAUIRIE" localSheetId="1">#REF!</definedName>
    <definedName name="MNAUIRIE">#REF!</definedName>
    <definedName name="MNCDF">#REF!</definedName>
    <definedName name="MNDLEL" localSheetId="1">#REF!</definedName>
    <definedName name="MNDLEL">#REF!</definedName>
    <definedName name="MNK" localSheetId="1">[1]reforma!#REF!</definedName>
    <definedName name="MNK">[1]reforma!#REF!</definedName>
    <definedName name="MNM" localSheetId="1">#REF!</definedName>
    <definedName name="MNM">#REF!</definedName>
    <definedName name="MO" localSheetId="1">#REF!</definedName>
    <definedName name="MO">#REF!</definedName>
    <definedName name="mo_base">[7]Base!$U$39</definedName>
    <definedName name="mo_sub_base">'[7]Sub-base'!$U$36</definedName>
    <definedName name="Mob" localSheetId="1">#REF!</definedName>
    <definedName name="Mob">#REF!</definedName>
    <definedName name="Mod.Contr.COmb.Posto">#REF!</definedName>
    <definedName name="mod1.ext">#REF!</definedName>
    <definedName name="mod1.ext_38">#REF!</definedName>
    <definedName name="Modelo">#REF!</definedName>
    <definedName name="módulo1.Extenso" localSheetId="1">[0]!módulo1.Extenso</definedName>
    <definedName name="módulo1.Extenso">#N/A</definedName>
    <definedName name="módulo1.Extenso_1" localSheetId="1">#REF!</definedName>
    <definedName name="módulo1.Extenso_1">#REF!</definedName>
    <definedName name="módulo1.Extenso_10">#REF!</definedName>
    <definedName name="módulo1.Extenso_12">#REF!</definedName>
    <definedName name="módulo1.Extenso_13">#REF!</definedName>
    <definedName name="módulo1.Extenso_19">#REF!</definedName>
    <definedName name="módulo1.Extenso_2">#REF!</definedName>
    <definedName name="módulo1.Extenso_21">#REF!</definedName>
    <definedName name="módulo1.Extenso_23">#REF!</definedName>
    <definedName name="módulo1.Extenso_24">#REF!</definedName>
    <definedName name="módulo1.Extenso_26">#REF!</definedName>
    <definedName name="módulo1.Extenso_27">#REF!</definedName>
    <definedName name="módulo1.Extenso_29">#REF!</definedName>
    <definedName name="módulo1.Extenso_30">#REF!</definedName>
    <definedName name="módulo1.Extenso_31">#REF!</definedName>
    <definedName name="módulo1.Extenso_33">#REF!</definedName>
    <definedName name="módulo1.Extenso_34">#REF!</definedName>
    <definedName name="módulo1.Extenso_35">#REF!</definedName>
    <definedName name="módulo1.Extenso_36">#REF!</definedName>
    <definedName name="módulo1.Extenso_37">#REF!</definedName>
    <definedName name="módulo1.Extenso_38">#REF!</definedName>
    <definedName name="módulo1.Extenso_39">#REF!</definedName>
    <definedName name="módulo1.Extenso_4">#REF!</definedName>
    <definedName name="módulo1.Extenso_40">#REF!</definedName>
    <definedName name="módulo1.Extenso_41">#REF!</definedName>
    <definedName name="módulo1.Extenso_42">#REF!</definedName>
    <definedName name="módulo1.Extenso_43">#REF!</definedName>
    <definedName name="módulo1.Extenso_44">#REF!</definedName>
    <definedName name="módulo1.Extenso_45">#REF!</definedName>
    <definedName name="módulo1.Extenso_46">#REF!</definedName>
    <definedName name="módulo1.Extenso_47">#REF!</definedName>
    <definedName name="módulo1.Extenso_48">#REF!</definedName>
    <definedName name="módulo1.Extenso_51">#REF!</definedName>
    <definedName name="módulo1.Extenso_52">#REF!</definedName>
    <definedName name="módulo1.Extenso_53">#REF!</definedName>
    <definedName name="módulo1.Extenso_54">#REF!</definedName>
    <definedName name="módulo1.Extenso_55">#REF!</definedName>
    <definedName name="módulo1.Extenso_56">#REF!</definedName>
    <definedName name="módulo1.Extenso_57">#REF!</definedName>
    <definedName name="módulo1.Extenso_58">#REF!</definedName>
    <definedName name="módulo1.Extenso_59">#REF!</definedName>
    <definedName name="módulo1.Extenso_60">#REF!</definedName>
    <definedName name="módulo1.Extenso_61">#REF!</definedName>
    <definedName name="módulo1.Extenso_62">#REF!</definedName>
    <definedName name="módulo1.Extenso_63">#REF!</definedName>
    <definedName name="módulo1.Extenso_64">#REF!</definedName>
    <definedName name="módulo1.Extenso_65">#REF!</definedName>
    <definedName name="módulo1.Extenso_66">#REF!</definedName>
    <definedName name="módulo1.Extenso_67">#REF!</definedName>
    <definedName name="módulo1.Extenso_68">#REF!</definedName>
    <definedName name="módulo1.Extenso_69">#REF!</definedName>
    <definedName name="módulo1.Extenso_7">#REF!</definedName>
    <definedName name="módulo1.Extenso_70">#REF!</definedName>
    <definedName name="módulo1.Extenso_71">#REF!</definedName>
    <definedName name="módulo1.Extenso_72">#REF!</definedName>
    <definedName name="módulo1.Extenso_8">#REF!</definedName>
    <definedName name="MOE" localSheetId="1">#REF!</definedName>
    <definedName name="MOE">#REF!</definedName>
    <definedName name="Moeda">#REF!</definedName>
    <definedName name="MoedaVal">#REF!</definedName>
    <definedName name="MOH" localSheetId="1">#REF!</definedName>
    <definedName name="MOH">#REF!</definedName>
    <definedName name="MOME">#REF!</definedName>
    <definedName name="mono" localSheetId="1" hidden="1">{"'Plan1'!$A$8:$F$68","'Plan1'!$A$8:$F$68"}</definedName>
    <definedName name="mono">{"'Plan1'!$A$8:$F$68","'Plan1'!$A$8:$F$68"}</definedName>
    <definedName name="MOTONIVELADORA" localSheetId="1">#REF!</definedName>
    <definedName name="MOTONIVELADORA">#REF!</definedName>
    <definedName name="MOTORISTA">#REF!</definedName>
    <definedName name="MOV_TERR_EMISS3_S" localSheetId="1">#REF!</definedName>
    <definedName name="MOV_TERR_EMISS3_S">#REF!</definedName>
    <definedName name="MOV_TERRA" localSheetId="1">#REF!</definedName>
    <definedName name="MOV_TERRA">#REF!</definedName>
    <definedName name="MOV_TERRA_EMISS" localSheetId="1">#REF!</definedName>
    <definedName name="MOV_TERRA_EMISS">#REF!</definedName>
    <definedName name="MOV_TERRA_EMISS2" localSheetId="1">#REF!</definedName>
    <definedName name="MOV_TERRA_EMISS2">#REF!</definedName>
    <definedName name="Movimento">#REF!</definedName>
    <definedName name="Movimento_2">#REF!</definedName>
    <definedName name="MOVTERRA">#REF!</definedName>
    <definedName name="MP">#REF!</definedName>
    <definedName name="MRIA">#REF!</definedName>
    <definedName name="MT__DEPARTAMENTO_NACIONAL_DE_ESTRADAS_DE_RODAGEM">#REF!</definedName>
    <definedName name="MUro">#REF!</definedName>
    <definedName name="MXNV" localSheetId="1">#REF!</definedName>
    <definedName name="MXNV">#REF!</definedName>
    <definedName name="n" localSheetId="1">#REF!</definedName>
    <definedName name="n">#REF!</definedName>
    <definedName name="N.">#REF!</definedName>
    <definedName name="N..">#REF!</definedName>
    <definedName name="N__EPC">#REF!</definedName>
    <definedName name="N0p">#REF!</definedName>
    <definedName name="N28JANTA">#REF!</definedName>
    <definedName name="nADA" localSheetId="1">#REF!</definedName>
    <definedName name="nADA">#REF!</definedName>
    <definedName name="NARCISO">#REF!</definedName>
    <definedName name="Natal">#REF!</definedName>
    <definedName name="NATUREZA">#REF!</definedName>
    <definedName name="NEIDE" localSheetId="1">#REF!</definedName>
    <definedName name="NEIDE">#REF!</definedName>
    <definedName name="NMMMN">[1]reforma!#REF!</definedName>
    <definedName name="NN" localSheetId="1">#REF!</definedName>
    <definedName name="NN">#REF!</definedName>
    <definedName name="NNN" localSheetId="1">#REF!</definedName>
    <definedName name="NNN">#REF!</definedName>
    <definedName name="NNNNNNNNNNNNNNNNNNNNNN" localSheetId="1">#REF!</definedName>
    <definedName name="NNNNNNNNNNNNNNNNNNNNNN">#REF!</definedName>
    <definedName name="nome" localSheetId="1" hidden="1">{#N/A,#N/A,FALSE,"MO (2)"}</definedName>
    <definedName name="nome">{#N/A,#N/A,FALSE,"MO (2)"}</definedName>
    <definedName name="NOME1" localSheetId="1">#REF!</definedName>
    <definedName name="NOME1">#REF!</definedName>
    <definedName name="NOME1_1" localSheetId="1">#REF!</definedName>
    <definedName name="NOME1_1">#REF!</definedName>
    <definedName name="NOME1_11" localSheetId="1">#REF!</definedName>
    <definedName name="NOME1_11">#REF!</definedName>
    <definedName name="NOME1_2" localSheetId="1">#REF!</definedName>
    <definedName name="NOME1_2">#REF!</definedName>
    <definedName name="NOME1_6" localSheetId="1">#REF!</definedName>
    <definedName name="NOME1_6">#REF!</definedName>
    <definedName name="nome2" localSheetId="1">#REF!</definedName>
    <definedName name="nome2">#REF!</definedName>
    <definedName name="nome3" localSheetId="1">#REF!</definedName>
    <definedName name="nome3">#REF!</definedName>
    <definedName name="NOMEOBRA">#REF!</definedName>
    <definedName name="Nomes">#REF!</definedName>
    <definedName name="NOp">#REF!</definedName>
    <definedName name="NOQ_4348">#REF!</definedName>
    <definedName name="Nossa_Senhora">#REF!</definedName>
    <definedName name="NOVA">#REF!</definedName>
    <definedName name="NPNE" localSheetId="1">#REF!</definedName>
    <definedName name="NPNE">#REF!</definedName>
    <definedName name="ntde" localSheetId="1" hidden="1">{#N/A,#N/A,FALSE,"MO (2)"}</definedName>
    <definedName name="ntde">{#N/A,#N/A,FALSE,"MO (2)"}</definedName>
    <definedName name="NTEI" localSheetId="1">'[3]pro-08'!#REF!</definedName>
    <definedName name="NTEI">'[3]pro-08'!#REF!</definedName>
    <definedName name="NTEI_10" localSheetId="1">#REF!</definedName>
    <definedName name="NTEI_10">#REF!</definedName>
    <definedName name="NTEI_11">#REF!</definedName>
    <definedName name="NTEI_12">#REF!</definedName>
    <definedName name="NTEI_13">#REF!</definedName>
    <definedName name="NTEI_14">#REF!</definedName>
    <definedName name="NTEI_15">#REF!</definedName>
    <definedName name="NTEI_16">#REF!</definedName>
    <definedName name="NTEI_17">#REF!</definedName>
    <definedName name="NTEI_18">#REF!</definedName>
    <definedName name="NTEI_5">#REF!</definedName>
    <definedName name="NTEI_6">#REF!</definedName>
    <definedName name="NTEI_7">#REF!</definedName>
    <definedName name="NTEI_8">#REF!</definedName>
    <definedName name="NTEI_9">#REF!</definedName>
    <definedName name="num_linhas" localSheetId="1">#REF!</definedName>
    <definedName name="num_linhas">#REF!</definedName>
    <definedName name="NUMED">#REF!</definedName>
    <definedName name="numEventos" localSheetId="1">COUNT(OFFSET(Memória!Eventos,0,0,,1))</definedName>
    <definedName name="numEventos">COUNT(OFFSET(Eventos,0,0,,1))</definedName>
    <definedName name="numFrentes" localSheetId="1">COUNTIF([10]Eventograma_e_Quantitativos!$N$15:$BK$15,"&lt;&gt;"&amp;"")</definedName>
    <definedName name="numFrentes">COUNTIF([11]Eventograma_e_Quantitativos!$N$15:$BK$15,"&lt;&gt;"&amp;"")</definedName>
    <definedName name="NUMOBRA" localSheetId="1">#REF!</definedName>
    <definedName name="NUMOBRA">#REF!</definedName>
    <definedName name="o" localSheetId="1">#REF!</definedName>
    <definedName name="o">#REF!</definedName>
    <definedName name="o_10">#REF!</definedName>
    <definedName name="o_11">#REF!</definedName>
    <definedName name="o_12">#REF!</definedName>
    <definedName name="o_13">#REF!</definedName>
    <definedName name="o_14">#REF!</definedName>
    <definedName name="o_15">#REF!</definedName>
    <definedName name="o_16">#REF!</definedName>
    <definedName name="o_17">#REF!</definedName>
    <definedName name="o_18">#REF!</definedName>
    <definedName name="o_2">#REF!</definedName>
    <definedName name="o_5">#REF!</definedName>
    <definedName name="o_6">#REF!</definedName>
    <definedName name="o_7">#REF!</definedName>
    <definedName name="o_8">#REF!</definedName>
    <definedName name="o_9">#REF!</definedName>
    <definedName name="oac" localSheetId="1">#REF!</definedName>
    <definedName name="oac">#REF!</definedName>
    <definedName name="oae" localSheetId="1">#REF!</definedName>
    <definedName name="oae">#REF!</definedName>
    <definedName name="OBRA" localSheetId="1">#REF!</definedName>
    <definedName name="OBRA">#REF!</definedName>
    <definedName name="ocom" localSheetId="1">#REF!</definedName>
    <definedName name="ocom">#REF!</definedName>
    <definedName name="OI" localSheetId="1">#REF!</definedName>
    <definedName name="OI">#REF!</definedName>
    <definedName name="ola">#REF!</definedName>
    <definedName name="OLIMPIO">#REF!</definedName>
    <definedName name="ONIAS">#REF!</definedName>
    <definedName name="onibus">#REF!</definedName>
    <definedName name="OO" localSheetId="1">#REF!</definedName>
    <definedName name="OO">#REF!</definedName>
    <definedName name="OOO" localSheetId="1">#REF!</definedName>
    <definedName name="OOO">#REF!</definedName>
    <definedName name="OOOOOOO">#REF!</definedName>
    <definedName name="OÓPÕOP">#REF!</definedName>
    <definedName name="OPA" localSheetId="1">'[3]pro-08'!#REF!</definedName>
    <definedName name="OPA">'[3]pro-08'!#REF!</definedName>
    <definedName name="OPA_10" localSheetId="1">#REF!</definedName>
    <definedName name="OPA_10">#REF!</definedName>
    <definedName name="OPA_11">#REF!</definedName>
    <definedName name="OPA_12">#REF!</definedName>
    <definedName name="OPA_13">#REF!</definedName>
    <definedName name="OPA_14">#REF!</definedName>
    <definedName name="OPA_15">#REF!</definedName>
    <definedName name="OPA_16">#REF!</definedName>
    <definedName name="OPA_17">#REF!</definedName>
    <definedName name="OPA_18">#REF!</definedName>
    <definedName name="OPA_5">#REF!</definedName>
    <definedName name="OPA_6">#REF!</definedName>
    <definedName name="OPA_7">#REF!</definedName>
    <definedName name="OPA_8">#REF!</definedName>
    <definedName name="OPA_9">#REF!</definedName>
    <definedName name="OPERACAO" localSheetId="1">#REF!</definedName>
    <definedName name="OPERACAO">#REF!</definedName>
    <definedName name="oracle">#REF!</definedName>
    <definedName name="oracle_2">#REF!</definedName>
    <definedName name="ORÇA">#REF!</definedName>
    <definedName name="Orcamen">#REF!</definedName>
    <definedName name="orcamento">#REF!</definedName>
    <definedName name="Orçamento" localSheetId="1">#REF!</definedName>
    <definedName name="Orçamento">#REF!</definedName>
    <definedName name="Orçamento_Básico" localSheetId="1">#REF!</definedName>
    <definedName name="Orçamento_Básico">#REF!</definedName>
    <definedName name="OrçamentoTotal" localSheetId="1">#REF!</definedName>
    <definedName name="OrçamentoTotal">#REF!</definedName>
    <definedName name="orçamrest">#REF!</definedName>
    <definedName name="orçamrestt">#REF!</definedName>
    <definedName name="orcrig">#REF!</definedName>
    <definedName name="ORDEM">#REF!</definedName>
    <definedName name="Origem">#REF!</definedName>
    <definedName name="ORLANDO" localSheetId="1">#REF!</definedName>
    <definedName name="ORLANDO">#REF!</definedName>
    <definedName name="orrlando" localSheetId="1">#REF!</definedName>
    <definedName name="orrlando">#REF!</definedName>
    <definedName name="OUTA">#REF!</definedName>
    <definedName name="OUTR">#REF!</definedName>
    <definedName name="OUTUBRO">#REF!</definedName>
    <definedName name="OUTUBRO_10">#REF!</definedName>
    <definedName name="OUTUBRO_11">#REF!</definedName>
    <definedName name="OUTUBRO_12">#REF!</definedName>
    <definedName name="OUTUBRO_13">#REF!</definedName>
    <definedName name="OUTUBRO_14">#REF!</definedName>
    <definedName name="OUTUBRO_15">#REF!</definedName>
    <definedName name="OUTUBRO_16">#REF!</definedName>
    <definedName name="OUTUBRO_17">#REF!</definedName>
    <definedName name="OUTUBRO_18">#REF!</definedName>
    <definedName name="OUTUBRO_2">#REF!</definedName>
    <definedName name="OUTUBRO_5">#REF!</definedName>
    <definedName name="OUTUBRO_6">#REF!</definedName>
    <definedName name="OUTUBRO_7">#REF!</definedName>
    <definedName name="OUTUBRO_8">#REF!</definedName>
    <definedName name="OUTUBRO_9">#REF!</definedName>
    <definedName name="OVER_FINAN">#REF!</definedName>
    <definedName name="p" localSheetId="1">#REF!</definedName>
    <definedName name="p">#REF!</definedName>
    <definedName name="P.Aparente">#REF!</definedName>
    <definedName name="P.Reatia">#REF!</definedName>
    <definedName name="P_Rep">#REF!</definedName>
    <definedName name="PACAP20MBQ">#REF!</definedName>
    <definedName name="PACM30IMP">#REF!</definedName>
    <definedName name="PACM30RP">#REF!</definedName>
    <definedName name="PACM30TB">#REF!</definedName>
    <definedName name="PAEMULCS">#REF!</definedName>
    <definedName name="PAEMULTSD">#REF!</definedName>
    <definedName name="PAEMULTSS">#REF!</definedName>
    <definedName name="PANTANAL">#REF!</definedName>
    <definedName name="PARA">#REF!</definedName>
    <definedName name="parametros">#REF!</definedName>
    <definedName name="parametross">#REF!</definedName>
    <definedName name="Parcial" localSheetId="1">#REF!</definedName>
    <definedName name="Parcial">#REF!</definedName>
    <definedName name="PARG">#REF!</definedName>
    <definedName name="PARL1CLAMAG">#REF!</definedName>
    <definedName name="PARL1CMBF">#REF!</definedName>
    <definedName name="PARR1CPL">#REF!</definedName>
    <definedName name="PARR1CST">#REF!</definedName>
    <definedName name="pass">#REF!</definedName>
    <definedName name="PassaExtenso_10" localSheetId="1">#REF!</definedName>
    <definedName name="PassaExtenso_10">#REF!</definedName>
    <definedName name="PassaExtenso_11">#REF!</definedName>
    <definedName name="PassaExtenso_12">#REF!</definedName>
    <definedName name="PassaExtenso_13">#REF!</definedName>
    <definedName name="PassaExtenso_14">#REF!</definedName>
    <definedName name="PassaExtenso_15">#REF!</definedName>
    <definedName name="PassaExtenso_16">#REF!</definedName>
    <definedName name="PassaExtenso_17">#REF!</definedName>
    <definedName name="PassaExtenso_18">#REF!</definedName>
    <definedName name="PassaExtenso_19">#REF!</definedName>
    <definedName name="PassaExtenso_21">#REF!</definedName>
    <definedName name="PassaExtenso_21_11">#REF!</definedName>
    <definedName name="PassaExtenso_21_13">#REF!</definedName>
    <definedName name="PassaExtenso_21_19">#REF!</definedName>
    <definedName name="PassaExtenso_21_2">#REF!</definedName>
    <definedName name="PassaExtenso_21_3">#REF!</definedName>
    <definedName name="PassaExtenso_21_4">#REF!</definedName>
    <definedName name="PassaExtenso_21_4_19">#REF!</definedName>
    <definedName name="PassaExtenso_21_7">#REF!</definedName>
    <definedName name="PassaExtenso_25">#REF!</definedName>
    <definedName name="PassaExtenso_25_11">#REF!</definedName>
    <definedName name="PassaExtenso_25_13">#REF!</definedName>
    <definedName name="PassaExtenso_25_19">#REF!</definedName>
    <definedName name="PassaExtenso_25_2">#REF!</definedName>
    <definedName name="PassaExtenso_25_3">#REF!</definedName>
    <definedName name="PassaExtenso_25_4">#REF!</definedName>
    <definedName name="PassaExtenso_25_4_19">#REF!</definedName>
    <definedName name="PassaExtenso_25_7">#REF!</definedName>
    <definedName name="PassaExtenso_34">#REF!</definedName>
    <definedName name="PassaExtenso_34_11">#REF!</definedName>
    <definedName name="PassaExtenso_34_13">#REF!</definedName>
    <definedName name="PassaExtenso_34_19">#REF!</definedName>
    <definedName name="PassaExtenso_34_2">#REF!</definedName>
    <definedName name="PassaExtenso_34_3">#REF!</definedName>
    <definedName name="PassaExtenso_34_4">#REF!</definedName>
    <definedName name="PassaExtenso_34_4_19">#REF!</definedName>
    <definedName name="PassaExtenso_34_7">#REF!</definedName>
    <definedName name="PassaExtenso_38">#REF!</definedName>
    <definedName name="PassaExtenso_38_11">#REF!</definedName>
    <definedName name="PassaExtenso_38_13">#REF!</definedName>
    <definedName name="PassaExtenso_38_19">#REF!</definedName>
    <definedName name="PassaExtenso_38_2">#REF!</definedName>
    <definedName name="PassaExtenso_38_3">#REF!</definedName>
    <definedName name="PassaExtenso_38_4">#REF!</definedName>
    <definedName name="PassaExtenso_38_4_19">#REF!</definedName>
    <definedName name="PassaExtenso_38_7">#REF!</definedName>
    <definedName name="PassaExtenso_5">#REF!</definedName>
    <definedName name="PassaExtenso_6">#REF!</definedName>
    <definedName name="PassaExtenso_7">#REF!</definedName>
    <definedName name="PassaExtenso_8">#REF!</definedName>
    <definedName name="PassaExtenso_9">#REF!</definedName>
    <definedName name="PASSAGEIROS">#REF!</definedName>
    <definedName name="Páteocoberto">#REF!</definedName>
    <definedName name="pativar">#REF!</definedName>
    <definedName name="pato">#REF!</definedName>
    <definedName name="PAULO">#REF!</definedName>
    <definedName name="PAUTO">#REF!</definedName>
    <definedName name="pav">#REF!</definedName>
    <definedName name="PAV_EMISS3_S" localSheetId="1">#REF!</definedName>
    <definedName name="PAV_EMISS3_S">#REF!</definedName>
    <definedName name="pavi" localSheetId="1">#REF!</definedName>
    <definedName name="pavi">#REF!</definedName>
    <definedName name="PAVIM_EMISS" localSheetId="1">#REF!</definedName>
    <definedName name="PAVIM_EMISS">#REF!</definedName>
    <definedName name="PAVIM_EMISS2" localSheetId="1">#REF!</definedName>
    <definedName name="PAVIM_EMISS2">#REF!</definedName>
    <definedName name="PAVIMENTAÇÃO" localSheetId="1">#REF!</definedName>
    <definedName name="PAVIMENTAÇÃO">#REF!</definedName>
    <definedName name="Pavimento" localSheetId="1">#REF!</definedName>
    <definedName name="Pavimento">#REF!</definedName>
    <definedName name="PCAI">#REF!</definedName>
    <definedName name="PCAP20">#REF!</definedName>
    <definedName name="PCCARR">#REF!</definedName>
    <definedName name="PCCP">#REF!</definedName>
    <definedName name="PCD">#REF!</definedName>
    <definedName name="PCDF">#REF!</definedName>
    <definedName name="PCMN">#REF!</definedName>
    <definedName name="PCS">#REF!</definedName>
    <definedName name="PCSA">#REF!</definedName>
    <definedName name="PCST">#REF!</definedName>
    <definedName name="PDBU">#REF!</definedName>
    <definedName name="PDCA">#REF!</definedName>
    <definedName name="PEA">#REF!</definedName>
    <definedName name="PEDREIRA">#REF!</definedName>
    <definedName name="PEDREIRA_48">#REF!</definedName>
    <definedName name="pEDRO">#REF!</definedName>
    <definedName name="PEJ">#REF!</definedName>
    <definedName name="PEMN">#REF!</definedName>
    <definedName name="PEN">#REF!</definedName>
    <definedName name="PERCAPITA" localSheetId="1">#REF!</definedName>
    <definedName name="PERCAPITA">#REF!</definedName>
    <definedName name="PercResid.">#REF!</definedName>
    <definedName name="PERIMETRO" localSheetId="1">#REF!</definedName>
    <definedName name="PERIMETRO">#REF!</definedName>
    <definedName name="periodoMediçao" localSheetId="1">INDEX([10]Resumo_de_Acompanhamento!$C$14:$C$37,Memória!mediçao)</definedName>
    <definedName name="periodoMediçao">INDEX([11]Resumo_de_Acompanhamento!$C$14:$C$37,mediçao)</definedName>
    <definedName name="PERNANBUCO" localSheetId="1">#REF!</definedName>
    <definedName name="PERNANBUCO">#REF!</definedName>
    <definedName name="pesquisa" localSheetId="1">#REF!</definedName>
    <definedName name="pesquisa">#REF!</definedName>
    <definedName name="pesquisa_2">#REF!</definedName>
    <definedName name="pesquisa_4">#REF!</definedName>
    <definedName name="pesquisa1">#REF!</definedName>
    <definedName name="pesquisaa">#REF!</definedName>
    <definedName name="PESSO">#REF!</definedName>
    <definedName name="pessoal">#REF!</definedName>
    <definedName name="PG">#REF!</definedName>
    <definedName name="PGP">#REF!</definedName>
    <definedName name="Pia_cozinha" localSheetId="1">#REF!</definedName>
    <definedName name="Pia_cozinha">#REF!</definedName>
    <definedName name="picole">#REF!</definedName>
    <definedName name="Pilar" localSheetId="1">#REF!</definedName>
    <definedName name="Pilar">#REF!</definedName>
    <definedName name="PILHA" localSheetId="1">#REF!</definedName>
    <definedName name="PILHA">#REF!</definedName>
    <definedName name="PINTLIG">#REF!</definedName>
    <definedName name="Pintura">#REF!</definedName>
    <definedName name="Pintura_cal" localSheetId="1">#REF!</definedName>
    <definedName name="Pintura_cal">#REF!</definedName>
    <definedName name="Pintura_óleo" localSheetId="1">#REF!</definedName>
    <definedName name="Pintura_óleo">#REF!</definedName>
    <definedName name="PINTURAS">#REF!</definedName>
    <definedName name="pipa">#REF!</definedName>
    <definedName name="Piso_cimentado" localSheetId="1">#REF!</definedName>
    <definedName name="Piso_cimentado">#REF!</definedName>
    <definedName name="PISOSREVEST">#REF!</definedName>
    <definedName name="pk">#REF!</definedName>
    <definedName name="pk_10">#REF!</definedName>
    <definedName name="pk_11">#REF!</definedName>
    <definedName name="pk_12">#REF!</definedName>
    <definedName name="pk_13">#REF!</definedName>
    <definedName name="pk_14">#REF!</definedName>
    <definedName name="pk_15">#REF!</definedName>
    <definedName name="pk_16">#REF!</definedName>
    <definedName name="pk_17">#REF!</definedName>
    <definedName name="pk_18">#REF!</definedName>
    <definedName name="pk_2">#REF!</definedName>
    <definedName name="pk_5">#REF!</definedName>
    <definedName name="pk_6">#REF!</definedName>
    <definedName name="pk_7">#REF!</definedName>
    <definedName name="pk_8">#REF!</definedName>
    <definedName name="pk_9">#REF!</definedName>
    <definedName name="PL" localSheetId="1">#REF!</definedName>
    <definedName name="PL">#REF!</definedName>
    <definedName name="PL_10">#REF!</definedName>
    <definedName name="PL_11">#REF!</definedName>
    <definedName name="PL_12">#REF!</definedName>
    <definedName name="PL_13">#REF!</definedName>
    <definedName name="PL_14">#REF!</definedName>
    <definedName name="PL_15">#REF!</definedName>
    <definedName name="PL_16">#REF!</definedName>
    <definedName name="PL_17">#REF!</definedName>
    <definedName name="PL_18">#REF!</definedName>
    <definedName name="PL_2">#REF!</definedName>
    <definedName name="PL_4">#REF!</definedName>
    <definedName name="PL_5">#REF!</definedName>
    <definedName name="PL_6">#REF!</definedName>
    <definedName name="PL_7">#REF!</definedName>
    <definedName name="PL_8">#REF!</definedName>
    <definedName name="PL_9">#REF!</definedName>
    <definedName name="PL_ABC" localSheetId="1">#REF!</definedName>
    <definedName name="PL_ABC">#REF!</definedName>
    <definedName name="PL1_2">#REF!</definedName>
    <definedName name="PLA">#REF!</definedName>
    <definedName name="PLACA">#REF!</definedName>
    <definedName name="Placa_de_cimento" localSheetId="1">#REF!</definedName>
    <definedName name="Placa_de_cimento">#REF!</definedName>
    <definedName name="PLACA_OBRA" localSheetId="1">#REF!</definedName>
    <definedName name="PLACA_OBRA">#REF!</definedName>
    <definedName name="placas">#REF!</definedName>
    <definedName name="PLAN">#REF!</definedName>
    <definedName name="Plan1" localSheetId="1">#REF!</definedName>
    <definedName name="Plan1">#REF!</definedName>
    <definedName name="plan275" localSheetId="1">#REF!</definedName>
    <definedName name="plan275">#REF!</definedName>
    <definedName name="PLANEJADA">#REF!</definedName>
    <definedName name="PLANILHA" localSheetId="1">#REF!</definedName>
    <definedName name="PLANILHA">#REF!</definedName>
    <definedName name="plano" localSheetId="1">#REF!</definedName>
    <definedName name="plano">#REF!</definedName>
    <definedName name="PLBU">#REF!</definedName>
    <definedName name="PLCD">#REF!</definedName>
    <definedName name="PLCD97">#REF!</definedName>
    <definedName name="PLDA">#REF!</definedName>
    <definedName name="PLE" localSheetId="1">OFFSET([10]PLE!$E$33,1,0):OFFSET([10]PLE!$BB$37,-1,0)</definedName>
    <definedName name="PLE">OFFSET([11]PLE!$E$33,1,0):OFFSET([11]PLE!$BB$37,-1,0)</definedName>
    <definedName name="PLIQ" localSheetId="1">#REF!</definedName>
    <definedName name="PLIQ">#REF!</definedName>
    <definedName name="pliq1">#REF!</definedName>
    <definedName name="PLL">#REF!</definedName>
    <definedName name="plm">#REF!</definedName>
    <definedName name="PLMBUQ">#REF!</definedName>
    <definedName name="PLNA" localSheetId="1">#REF!</definedName>
    <definedName name="PLNA">#REF!</definedName>
    <definedName name="PLPTE">#REF!</definedName>
    <definedName name="PLSM">#REF!</definedName>
    <definedName name="PLT">#REF!</definedName>
    <definedName name="PLVC">#REF!</definedName>
    <definedName name="PLVD">#REF!</definedName>
    <definedName name="PLW">#REF!</definedName>
    <definedName name="PLWA">#REF!</definedName>
    <definedName name="PMBF">#REF!</definedName>
    <definedName name="PMBQ">#REF!</definedName>
    <definedName name="PMBQA">#REF!</definedName>
    <definedName name="PMBQT">#REF!</definedName>
    <definedName name="PMD">#REF!</definedName>
    <definedName name="po" localSheetId="1">#REF!</definedName>
    <definedName name="po">#REF!</definedName>
    <definedName name="POBRE" localSheetId="1">#REF!</definedName>
    <definedName name="POBRE">#REF!</definedName>
    <definedName name="Poço" localSheetId="1">#REF!</definedName>
    <definedName name="Poço">#REF!</definedName>
    <definedName name="POÇO_VISIT" localSheetId="1">#REF!</definedName>
    <definedName name="POÇO_VISIT">#REF!</definedName>
    <definedName name="PONTE">#REF!</definedName>
    <definedName name="Ponte_10">#REF!</definedName>
    <definedName name="Ponte_12">#REF!</definedName>
    <definedName name="Ponte_19">#REF!</definedName>
    <definedName name="Ponte_2">#REF!</definedName>
    <definedName name="Ponte_21">#REF!</definedName>
    <definedName name="Ponte_23">#REF!</definedName>
    <definedName name="Ponte_24">#REF!</definedName>
    <definedName name="Ponte_26">#REF!</definedName>
    <definedName name="Ponte_27">#REF!</definedName>
    <definedName name="Ponte_29">#REF!</definedName>
    <definedName name="Ponte_30">#REF!</definedName>
    <definedName name="Ponte_31">#REF!</definedName>
    <definedName name="Ponte_33">#REF!</definedName>
    <definedName name="Ponte_34">#REF!</definedName>
    <definedName name="Ponte_35">#REF!</definedName>
    <definedName name="Ponte_36">#REF!</definedName>
    <definedName name="Ponte_37">#REF!</definedName>
    <definedName name="Ponte_38">#REF!</definedName>
    <definedName name="Ponte_39">#REF!</definedName>
    <definedName name="Ponte_4">#REF!</definedName>
    <definedName name="Ponte_40">#REF!</definedName>
    <definedName name="Ponte_41">#REF!</definedName>
    <definedName name="Ponte_42">#REF!</definedName>
    <definedName name="Ponte_43">#REF!</definedName>
    <definedName name="Ponte_44">#REF!</definedName>
    <definedName name="Ponte_45">#REF!</definedName>
    <definedName name="Ponte_46">#REF!</definedName>
    <definedName name="Ponte_47">#REF!</definedName>
    <definedName name="Ponte_48">#REF!</definedName>
    <definedName name="Ponte_51">#REF!</definedName>
    <definedName name="Ponte_52">#REF!</definedName>
    <definedName name="Ponte_53">#REF!</definedName>
    <definedName name="Ponte_55">#REF!</definedName>
    <definedName name="Ponte_58">#REF!</definedName>
    <definedName name="Ponte_59">#REF!</definedName>
    <definedName name="Ponte_60">#REF!</definedName>
    <definedName name="Ponte_61">#REF!</definedName>
    <definedName name="Ponte_62">#REF!</definedName>
    <definedName name="Ponte_63">#REF!</definedName>
    <definedName name="Ponte_64">#REF!</definedName>
    <definedName name="Ponte_65">#REF!</definedName>
    <definedName name="Ponte_66">#REF!</definedName>
    <definedName name="Ponte_67">#REF!</definedName>
    <definedName name="Ponte_68">#REF!</definedName>
    <definedName name="Ponte_69">#REF!</definedName>
    <definedName name="Ponte_70">#REF!</definedName>
    <definedName name="Ponte_71">#REF!</definedName>
    <definedName name="Ponte_72">#REF!</definedName>
    <definedName name="Ponte_8">#REF!</definedName>
    <definedName name="ponto">#REF!</definedName>
    <definedName name="Popular" localSheetId="1" hidden="1">{#N/A,#N/A,FALSE,"Cronograma";#N/A,#N/A,FALSE,"Cronogr. 2"}</definedName>
    <definedName name="Popular">{#N/A,#N/A,FALSE,"Cronograma";#N/A,#N/A,FALSE,"Cronogr. 2"}</definedName>
    <definedName name="PORRA" localSheetId="1">#REF!</definedName>
    <definedName name="PORRA">#REF!</definedName>
    <definedName name="portugal">#REF!</definedName>
    <definedName name="Posição">#REF!</definedName>
    <definedName name="POSTO">#REF!</definedName>
    <definedName name="Potencia">#REF!</definedName>
    <definedName name="PP" localSheetId="1">#REF!</definedName>
    <definedName name="PP">#REF!</definedName>
    <definedName name="PPEN">#REF!</definedName>
    <definedName name="PPL">#REF!</definedName>
    <definedName name="PPLA">#REF!</definedName>
    <definedName name="PPLT">#REF!</definedName>
    <definedName name="PPP">#REF!</definedName>
    <definedName name="ppt_pistas_e_patios" localSheetId="1">#REF!</definedName>
    <definedName name="ppt_pistas_e_patios">#REF!</definedName>
    <definedName name="PQWOINNE">#REF!</definedName>
    <definedName name="Pr">#REF!</definedName>
    <definedName name="PRA">#REF!</definedName>
    <definedName name="Prazo">#REF!</definedName>
    <definedName name="PRAZO_EDITAL">#REF!</definedName>
    <definedName name="PRAZO_ORC">#REF!</definedName>
    <definedName name="PRBQ">#REF!</definedName>
    <definedName name="PRCB">#REF!</definedName>
    <definedName name="PRCC">#REF!</definedName>
    <definedName name="PRCCL">#REF!</definedName>
    <definedName name="Prd">#REF!</definedName>
    <definedName name="PrdAux">#REF!</definedName>
    <definedName name="PRDM">#REF!</definedName>
    <definedName name="Pre">#REF!</definedName>
    <definedName name="Preço_Improd.">#REF!</definedName>
    <definedName name="Preço_prod.">#REF!</definedName>
    <definedName name="Preço_Unitário" localSheetId="1">#REF!</definedName>
    <definedName name="Preço_Unitário">#REF!</definedName>
    <definedName name="preco1">#REF!</definedName>
    <definedName name="PREÇOS_10">#REF!</definedName>
    <definedName name="PREÇOS_17">#REF!</definedName>
    <definedName name="Preços_2anosarrumada">#REF!</definedName>
    <definedName name="PREÇOS_6">#REF!</definedName>
    <definedName name="PREÇOS_7">#REF!</definedName>
    <definedName name="PREÇOS_8">#REF!</definedName>
    <definedName name="PREÇOS_9">#REF!</definedName>
    <definedName name="PREÇOS_FEV_2015">#REF!</definedName>
    <definedName name="PreçoServiçoPorFrente" localSheetId="1">OFFSET([10]Eventograma_e_Quantitativos!$BM$18,1,0):OFFSET([10]Eventograma_e_Quantitativos!$DJ$36,-1,0)</definedName>
    <definedName name="PreçoServiçoPorFrente">OFFSET([11]Eventograma_e_Quantitativos!$BM$18,1,0):OFFSET([11]Eventograma_e_Quantitativos!$DJ$36,-1,0)</definedName>
    <definedName name="PreçoServiçosPorFrente.Executados" localSheetId="1">OFFSET([10]Eventograma_e_Quantitativos!$DM$18,1,0):OFFSET([10]Eventograma_e_Quantitativos!$FJ$36,-1,0)</definedName>
    <definedName name="PreçoServiçosPorFrente.Executados">OFFSET([11]Eventograma_e_Quantitativos!$DM$18,1,0):OFFSET([11]Eventograma_e_Quantitativos!$FJ$36,-1,0)</definedName>
    <definedName name="PRECP" localSheetId="1">#REF!</definedName>
    <definedName name="PRECP">#REF!</definedName>
    <definedName name="PRECREV">#REF!</definedName>
    <definedName name="PREMN">#REF!</definedName>
    <definedName name="PRGC">#REF!</definedName>
    <definedName name="primeira">#REF!</definedName>
    <definedName name="primeira_3">#REF!</definedName>
    <definedName name="primeira_4">#REF!</definedName>
    <definedName name="primeira_5">#REF!</definedName>
    <definedName name="primeiraa">#REF!</definedName>
    <definedName name="PRINC.">#REF!</definedName>
    <definedName name="PRINT_AREA" localSheetId="1">#REF!</definedName>
    <definedName name="PRINT_AREA">#REF!</definedName>
    <definedName name="PRINT_AREA_MI" localSheetId="1">#REF!</definedName>
    <definedName name="PRINT_AREA_MI">#REF!</definedName>
    <definedName name="Print_Area_MI_19">#REF!</definedName>
    <definedName name="Print_Area_MI_21">#REF!</definedName>
    <definedName name="Print_Area_MI_21_19">#REF!</definedName>
    <definedName name="Print_Area_MI_4">#REF!</definedName>
    <definedName name="Print_Area_MII">#REF!</definedName>
    <definedName name="PRINT_TITLES">#REF!</definedName>
    <definedName name="PRINT_TITLES_MI" localSheetId="1">#REF!</definedName>
    <definedName name="PRINT_TITLES_MI">#REF!</definedName>
    <definedName name="PRINT_TITLES_MI_19">#REF!</definedName>
    <definedName name="PRINT_TITLES_MI_4">#REF!</definedName>
    <definedName name="PRINT_TITLES_MII">#REF!</definedName>
    <definedName name="PRM1C">#REF!</definedName>
    <definedName name="PRMN">#REF!</definedName>
    <definedName name="PROD_1">#REF!</definedName>
    <definedName name="PROD_11">#REF!</definedName>
    <definedName name="ProdAnexo">#REF!</definedName>
    <definedName name="ProdNome">#REF!</definedName>
    <definedName name="produção">#REF!</definedName>
    <definedName name="produçao1">#REF!</definedName>
    <definedName name="proj">#REF!</definedName>
    <definedName name="proj_2">#REF!</definedName>
    <definedName name="PROJETO">#REF!</definedName>
    <definedName name="PROMZ">#REF!</definedName>
    <definedName name="PROPRIETARIO">#REF!</definedName>
    <definedName name="ProteçãoAmbiental">#REF!</definedName>
    <definedName name="PRP">#REF!</definedName>
    <definedName name="PRPA">#REF!</definedName>
    <definedName name="PRPL">#REF!</definedName>
    <definedName name="PRPT">#REF!</definedName>
    <definedName name="PRR1C">#REF!</definedName>
    <definedName name="PRRP">#REF!</definedName>
    <definedName name="PRZ">#REF!</definedName>
    <definedName name="PrzO">#REF!</definedName>
    <definedName name="PSCB">#REF!</definedName>
    <definedName name="PSERVIÇOS">#REF!</definedName>
    <definedName name="PSINAL">#REF!</definedName>
    <definedName name="PST">#REF!</definedName>
    <definedName name="PTB">#REF!</definedName>
    <definedName name="PTBA">#REF!</definedName>
    <definedName name="PTBT">#REF!</definedName>
    <definedName name="PTCAP20">#REF!</definedName>
    <definedName name="PTCAP20MBQ">#REF!</definedName>
    <definedName name="PTCB4">#REF!</definedName>
    <definedName name="PTCC4">#REF!</definedName>
    <definedName name="PTCCB10">#REF!</definedName>
    <definedName name="PTCM30">#REF!</definedName>
    <definedName name="PTCM30IMP">#REF!</definedName>
    <definedName name="PTCM30RP">#REF!</definedName>
    <definedName name="PTCM30TB">#REF!</definedName>
    <definedName name="pte">#REF!</definedName>
    <definedName name="pte_38">#REF!</definedName>
    <definedName name="PTEB4">#REF!</definedName>
    <definedName name="PTEMULCS">#REF!</definedName>
    <definedName name="PTEMULTSD">#REF!</definedName>
    <definedName name="PTEMULTSS">#REF!</definedName>
    <definedName name="PTLCB10">#REF!</definedName>
    <definedName name="PTLMB">#REF!</definedName>
    <definedName name="Pto">#REF!</definedName>
    <definedName name="Ptotal">#REF!</definedName>
    <definedName name="PTRL1CLAMAG">#REF!</definedName>
    <definedName name="PTRL1CMBF">#REF!</definedName>
    <definedName name="PTRM1C">#REF!</definedName>
    <definedName name="PTRR1C">#REF!</definedName>
    <definedName name="PTRR1CPL">#REF!</definedName>
    <definedName name="PTRR1CST">#REF!</definedName>
    <definedName name="PTSD">#REF!</definedName>
    <definedName name="PTSD2">#REF!</definedName>
    <definedName name="punit">#REF!</definedName>
    <definedName name="PUNIT1">#REF!</definedName>
    <definedName name="PUnit10">#REF!</definedName>
    <definedName name="PUnit11">#REF!</definedName>
    <definedName name="PUnit12">#REF!</definedName>
    <definedName name="PUNIT3">#REF!</definedName>
    <definedName name="PUPA">#REF!</definedName>
    <definedName name="PUPJ">#REF!</definedName>
    <definedName name="pveg" localSheetId="1" hidden="1">{#N/A,#N/A,FALSE,"MO (2)"}</definedName>
    <definedName name="pveg">{#N/A,#N/A,FALSE,"MO (2)"}</definedName>
    <definedName name="Q" localSheetId="1">#REF!</definedName>
    <definedName name="Q">#REF!</definedName>
    <definedName name="QD" localSheetId="1">#REF!</definedName>
    <definedName name="QD">#REF!</definedName>
    <definedName name="QQ" localSheetId="1">#REF!</definedName>
    <definedName name="QQ">#REF!</definedName>
    <definedName name="QQ_2" localSheetId="1">[0]!QQ_2</definedName>
    <definedName name="QQ_2">#N/A</definedName>
    <definedName name="qq_2_" localSheetId="1">#REF!</definedName>
    <definedName name="qq_2_">#REF!</definedName>
    <definedName name="qq_2__38">#REF!</definedName>
    <definedName name="QQ_2_1">#REF!</definedName>
    <definedName name="QQ_2_10">#REF!</definedName>
    <definedName name="QQ_2_12">#REF!</definedName>
    <definedName name="QQ_2_13">#REF!</definedName>
    <definedName name="QQ_2_19">#REF!</definedName>
    <definedName name="QQ_2_2">#REF!</definedName>
    <definedName name="QQ_2_21">#REF!</definedName>
    <definedName name="QQ_2_23">#REF!</definedName>
    <definedName name="QQ_2_24">#REF!</definedName>
    <definedName name="QQ_2_26">#REF!</definedName>
    <definedName name="QQ_2_27">#REF!</definedName>
    <definedName name="QQ_2_29">#REF!</definedName>
    <definedName name="QQ_2_30">#REF!</definedName>
    <definedName name="QQ_2_31">#REF!</definedName>
    <definedName name="QQ_2_33">#REF!</definedName>
    <definedName name="QQ_2_34">#REF!</definedName>
    <definedName name="QQ_2_35">#REF!</definedName>
    <definedName name="QQ_2_36">#REF!</definedName>
    <definedName name="QQ_2_37">#REF!</definedName>
    <definedName name="QQ_2_38">#REF!</definedName>
    <definedName name="QQ_2_39">#REF!</definedName>
    <definedName name="QQ_2_4">#REF!</definedName>
    <definedName name="QQ_2_40">#REF!</definedName>
    <definedName name="QQ_2_41">#REF!</definedName>
    <definedName name="QQ_2_42">#REF!</definedName>
    <definedName name="QQ_2_43">#REF!</definedName>
    <definedName name="QQ_2_44">#REF!</definedName>
    <definedName name="QQ_2_45">#REF!</definedName>
    <definedName name="QQ_2_46">#REF!</definedName>
    <definedName name="QQ_2_47">#REF!</definedName>
    <definedName name="QQ_2_48">#REF!</definedName>
    <definedName name="QQ_2_51">#REF!</definedName>
    <definedName name="QQ_2_52">#REF!</definedName>
    <definedName name="QQ_2_53">#REF!</definedName>
    <definedName name="QQ_2_54">#REF!</definedName>
    <definedName name="QQ_2_55">#REF!</definedName>
    <definedName name="QQ_2_56">#REF!</definedName>
    <definedName name="QQ_2_57">#REF!</definedName>
    <definedName name="QQ_2_58">#REF!</definedName>
    <definedName name="QQ_2_59">#REF!</definedName>
    <definedName name="QQ_2_60">#REF!</definedName>
    <definedName name="QQ_2_61">#REF!</definedName>
    <definedName name="QQ_2_62">#REF!</definedName>
    <definedName name="QQ_2_63">#REF!</definedName>
    <definedName name="QQ_2_64">#REF!</definedName>
    <definedName name="QQ_2_65">#REF!</definedName>
    <definedName name="QQ_2_66">#REF!</definedName>
    <definedName name="QQ_2_67">#REF!</definedName>
    <definedName name="QQ_2_68">#REF!</definedName>
    <definedName name="QQ_2_69">#REF!</definedName>
    <definedName name="QQ_2_7">#REF!</definedName>
    <definedName name="QQ_2_70">#REF!</definedName>
    <definedName name="QQ_2_71">#REF!</definedName>
    <definedName name="QQ_2_72">#REF!</definedName>
    <definedName name="QQ_2_8">#REF!</definedName>
    <definedName name="qqe" localSheetId="1">[0]!qqe</definedName>
    <definedName name="qqe">#N/A</definedName>
    <definedName name="qqq" localSheetId="1">#REF!</definedName>
    <definedName name="qqq">#REF!</definedName>
    <definedName name="qqqq">#REF!</definedName>
    <definedName name="qqqqq">#REF!</definedName>
    <definedName name="qqqqqq">#REF!</definedName>
    <definedName name="qqqqqqq">#REF!</definedName>
    <definedName name="qqqqqqqq">#REF!</definedName>
    <definedName name="qqqqqqqqq">#REF!</definedName>
    <definedName name="QTD">#REF!</definedName>
    <definedName name="QTDE" localSheetId="1" hidden="1">{#N/A,#N/A,FALSE,"MO (2)"}</definedName>
    <definedName name="QTDE">{#N/A,#N/A,FALSE,"MO (2)"}</definedName>
    <definedName name="QtEq" localSheetId="1">#REF!</definedName>
    <definedName name="QtEq">#REF!</definedName>
    <definedName name="QtMo">#REF!</definedName>
    <definedName name="QtMp">#REF!</definedName>
    <definedName name="QtTr">#REF!</definedName>
    <definedName name="Quadra" localSheetId="1" hidden="1">{#N/A,#N/A,FALSE,"MO (2)"}</definedName>
    <definedName name="Quadra">{#N/A,#N/A,FALSE,"MO (2)"}</definedName>
    <definedName name="QUADRA1" localSheetId="1" hidden="1">{#N/A,#N/A,FALSE,"MO (2)"}</definedName>
    <definedName name="QUADRA1">{#N/A,#N/A,FALSE,"MO (2)"}</definedName>
    <definedName name="QUADRA2" localSheetId="1" hidden="1">{#N/A,#N/A,FALSE,"MO (2)"}</definedName>
    <definedName name="QUADRA2">{#N/A,#N/A,FALSE,"MO (2)"}</definedName>
    <definedName name="QUANT" localSheetId="1" hidden="1">{#N/A,#N/A,FALSE,"MO (2)"}</definedName>
    <definedName name="QUANT">{#N/A,#N/A,FALSE,"MO (2)"}</definedName>
    <definedName name="Quant." localSheetId="1">#REF!</definedName>
    <definedName name="Quant.">#REF!</definedName>
    <definedName name="Quant.1" localSheetId="1">#REF!</definedName>
    <definedName name="Quant.1">#REF!</definedName>
    <definedName name="QUANT_acumu" localSheetId="1">#REF!</definedName>
    <definedName name="QUANT_acumu">#REF!</definedName>
    <definedName name="Quantidade" localSheetId="1">#REF!</definedName>
    <definedName name="Quantidade">#REF!</definedName>
    <definedName name="QUANTIDADE_10">#REF!</definedName>
    <definedName name="QUANTIDADE_10_19">#REF!</definedName>
    <definedName name="QUANTIDADE_17">#REF!</definedName>
    <definedName name="QUANTIDADE_17_19">#REF!</definedName>
    <definedName name="QUANTIDADE_19">#REF!</definedName>
    <definedName name="QUANTIDADE_6">#REF!</definedName>
    <definedName name="QUANTIDADE_6_19">#REF!</definedName>
    <definedName name="QUANTIDADE_7">#REF!</definedName>
    <definedName name="QUANTIDADE_7_19">#REF!</definedName>
    <definedName name="QUANTIDADE_8">#REF!</definedName>
    <definedName name="QUANTIDADE_8_19">#REF!</definedName>
    <definedName name="QUANTIDADE_9">#REF!</definedName>
    <definedName name="QUANTIDADE_9_19">#REF!</definedName>
    <definedName name="Quantidades" localSheetId="1" hidden="1">{#N/A,#N/A,FALSE,"MO (2)"}</definedName>
    <definedName name="Quantidades">{#N/A,#N/A,FALSE,"MO (2)"}</definedName>
    <definedName name="QuantPreços_2anosarrumada" localSheetId="1">#REF!</definedName>
    <definedName name="QuantPreços_2anosarrumada">#REF!</definedName>
    <definedName name="QuantPreços_2anosf">#REF!</definedName>
    <definedName name="QuantPreçosUnitFinal">#REF!</definedName>
    <definedName name="quilometros">#REF!</definedName>
    <definedName name="QW" localSheetId="1">#REF!</definedName>
    <definedName name="QW">#REF!</definedName>
    <definedName name="qwe">#REF!</definedName>
    <definedName name="qwrqerwqer">#REF!</definedName>
    <definedName name="RA">#REF!</definedName>
    <definedName name="rach">#REF!</definedName>
    <definedName name="rach_38">#REF!</definedName>
    <definedName name="Rachão">#REF!</definedName>
    <definedName name="Rachão_10">#REF!</definedName>
    <definedName name="Rachão_2">#REF!</definedName>
    <definedName name="Rachão_23">#REF!</definedName>
    <definedName name="Rachão_24">#REF!</definedName>
    <definedName name="Rachão_26">#REF!</definedName>
    <definedName name="Rachão_27">#REF!</definedName>
    <definedName name="Rachão_29">#REF!</definedName>
    <definedName name="Rachão_30">#REF!</definedName>
    <definedName name="Rachão_36">#REF!</definedName>
    <definedName name="Rachão_37">#REF!</definedName>
    <definedName name="Rachão_38">#REF!</definedName>
    <definedName name="Rachão_4">#REF!</definedName>
    <definedName name="Rachão_48">#REF!</definedName>
    <definedName name="Rachão_51">#REF!</definedName>
    <definedName name="Rachão_52">#REF!</definedName>
    <definedName name="Rachão_53">#REF!</definedName>
    <definedName name="Rachão_55">#REF!</definedName>
    <definedName name="Rachão_67">#REF!</definedName>
    <definedName name="Rachão_68">#REF!</definedName>
    <definedName name="Rachão_69">#REF!</definedName>
    <definedName name="Rachão_70">#REF!</definedName>
    <definedName name="Rachão_71">#REF!</definedName>
    <definedName name="Rachão_72">#REF!</definedName>
    <definedName name="Radier" localSheetId="1">#REF!</definedName>
    <definedName name="Radier">#REF!</definedName>
    <definedName name="RBQ">#REF!</definedName>
    <definedName name="RCB" localSheetId="1">#REF!</definedName>
    <definedName name="RCB">#REF!</definedName>
    <definedName name="RCC">#REF!</definedName>
    <definedName name="RCCL">#REF!</definedName>
    <definedName name="rcgp">#REF!</definedName>
    <definedName name="rcgp_2">#REF!</definedName>
    <definedName name="RCGQ">#REF!</definedName>
    <definedName name="RCH">#REF!</definedName>
    <definedName name="RCR">#REF!</definedName>
    <definedName name="rd" localSheetId="1">#REF!</definedName>
    <definedName name="rd">#REF!</definedName>
    <definedName name="RDM">#REF!</definedName>
    <definedName name="re">#REF!</definedName>
    <definedName name="rea" localSheetId="1">#REF!</definedName>
    <definedName name="rea">#REF!</definedName>
    <definedName name="REAJ">#REF!</definedName>
    <definedName name="rearos2">#REF!</definedName>
    <definedName name="REATBUEIRO">#REF!</definedName>
    <definedName name="Reaterro" localSheetId="1">#REF!</definedName>
    <definedName name="Reaterro">#REF!</definedName>
    <definedName name="Reboco" localSheetId="1">#REF!</definedName>
    <definedName name="Reboco">#REF!</definedName>
    <definedName name="rec_10" localSheetId="1">#REF!</definedName>
    <definedName name="rec_10">#REF!</definedName>
    <definedName name="rec_2">#REF!</definedName>
    <definedName name="rec_23">#REF!</definedName>
    <definedName name="rec_24">#REF!</definedName>
    <definedName name="rec_26">#REF!</definedName>
    <definedName name="rec_27">#REF!</definedName>
    <definedName name="rec_29">#REF!</definedName>
    <definedName name="rec_30">#REF!</definedName>
    <definedName name="rec_36">#REF!</definedName>
    <definedName name="rec_37">#REF!</definedName>
    <definedName name="rec_38">#REF!</definedName>
    <definedName name="rec_4">#REF!</definedName>
    <definedName name="rec_48">#REF!</definedName>
    <definedName name="rec_51">#REF!</definedName>
    <definedName name="rec_52">#REF!</definedName>
    <definedName name="rec_53">#REF!</definedName>
    <definedName name="rec_55">#REF!</definedName>
    <definedName name="rec_67">#REF!</definedName>
    <definedName name="rec_68">#REF!</definedName>
    <definedName name="rec_69">#REF!</definedName>
    <definedName name="rec_70">#REF!</definedName>
    <definedName name="rec_71">#REF!</definedName>
    <definedName name="rec_72">#REF!</definedName>
    <definedName name="REC_BRITA">#REF!</definedName>
    <definedName name="REC_BRITA_2">#REF!</definedName>
    <definedName name="REC_SEM_BRITA">#REF!</definedName>
    <definedName name="REC_SEM_BRITA_2">#REF!</definedName>
    <definedName name="REC110PI">#REF!</definedName>
    <definedName name="REC110PI_2">#REF!</definedName>
    <definedName name="REC110R">#REF!</definedName>
    <definedName name="REC110R_2">#REF!</definedName>
    <definedName name="REC316PI">#REF!</definedName>
    <definedName name="REC316PI_2">#REF!</definedName>
    <definedName name="REC316R">#REF!</definedName>
    <definedName name="REC316R_2">#REF!</definedName>
    <definedName name="RECAPEAMENTO">#REF!</definedName>
    <definedName name="recc">#REF!</definedName>
    <definedName name="recc_38">#REF!</definedName>
    <definedName name="recife" localSheetId="1">#REF!</definedName>
    <definedName name="recife">#REF!</definedName>
    <definedName name="Recorder" localSheetId="1">#REF!</definedName>
    <definedName name="Recorder">#REF!</definedName>
    <definedName name="RECP">#REF!</definedName>
    <definedName name="RECREV">#REF!</definedName>
    <definedName name="recrevcbuq">#REF!</definedName>
    <definedName name="REDE_COLETORA_MAT" localSheetId="1">#REF!</definedName>
    <definedName name="REDE_COLETORA_MAT">#REF!</definedName>
    <definedName name="REDE_COLETORA_MATERIAL">'[16]REDE COLETORA'!$H$67</definedName>
    <definedName name="REDE_COLETORA_SERV" localSheetId="1">#REF!</definedName>
    <definedName name="REDE_COLETORA_SERV">#REF!</definedName>
    <definedName name="REDE_COLETORA_SERVIÇOS">'[16]REDE COLETORA'!$H$9</definedName>
    <definedName name="REE" localSheetId="1">#REF!</definedName>
    <definedName name="REE">#REF!</definedName>
    <definedName name="REE_2">#REF!</definedName>
    <definedName name="reec">#REF!</definedName>
    <definedName name="reec_2">#REF!</definedName>
    <definedName name="Refeição" localSheetId="1">#REF!</definedName>
    <definedName name="Refeição">#REF!</definedName>
    <definedName name="REFEITO">#REF!</definedName>
    <definedName name="Reforma">#REF!</definedName>
    <definedName name="RefParalis" localSheetId="1">#REF!</definedName>
    <definedName name="RefParalis">#REF!</definedName>
    <definedName name="REG" localSheetId="1">#REF!</definedName>
    <definedName name="REG">#REF!</definedName>
    <definedName name="REG_2">#REF!</definedName>
    <definedName name="REG_4">#REF!</definedName>
    <definedName name="REGG">#REF!</definedName>
    <definedName name="REGULA">[7]Regula!$M$36</definedName>
    <definedName name="REGULA_10" localSheetId="1">#REF!</definedName>
    <definedName name="REGULA_10">#REF!</definedName>
    <definedName name="REGULA_11">#REF!</definedName>
    <definedName name="REGULA_12">#REF!</definedName>
    <definedName name="REGULA_13">#REF!</definedName>
    <definedName name="REGULA_14">#REF!</definedName>
    <definedName name="REGULA_15">#REF!</definedName>
    <definedName name="REGULA_16">#REF!</definedName>
    <definedName name="REGULA_17">#REF!</definedName>
    <definedName name="REGULA_18">#REF!</definedName>
    <definedName name="REGULA_2">#REF!</definedName>
    <definedName name="REGULA_3">#REF!</definedName>
    <definedName name="REGULA_4">#REF!</definedName>
    <definedName name="REGULA_5">#REF!</definedName>
    <definedName name="REGULA_6">#REF!</definedName>
    <definedName name="REGULA_7">#REF!</definedName>
    <definedName name="REGULA_8">#REF!</definedName>
    <definedName name="REGULA_9">#REF!</definedName>
    <definedName name="REGULAA">#REF!</definedName>
    <definedName name="REL">#REF!</definedName>
    <definedName name="Relaçao">#REF!</definedName>
    <definedName name="Relat">#REF!</definedName>
    <definedName name="relatorio">#REF!</definedName>
    <definedName name="relequip">#REF!</definedName>
    <definedName name="RELL">#REF!</definedName>
    <definedName name="REM">#REF!</definedName>
    <definedName name="REMB">#REF!</definedName>
    <definedName name="REMB_10">#REF!</definedName>
    <definedName name="REMB_11">#REF!</definedName>
    <definedName name="REMB_12">#REF!</definedName>
    <definedName name="REMB_13">#REF!</definedName>
    <definedName name="REMB_14">#REF!</definedName>
    <definedName name="REMB_15">#REF!</definedName>
    <definedName name="REMB_16">#REF!</definedName>
    <definedName name="REMB_17">#REF!</definedName>
    <definedName name="REMB_18">#REF!</definedName>
    <definedName name="REMB_5">#REF!</definedName>
    <definedName name="REMB_6">#REF!</definedName>
    <definedName name="REMB_7">#REF!</definedName>
    <definedName name="REMB_8">#REF!</definedName>
    <definedName name="REMB_9">#REF!</definedName>
    <definedName name="remesas">#REF!</definedName>
    <definedName name="REMN">#REF!</definedName>
    <definedName name="REMP">#REF!</definedName>
    <definedName name="REMP_10">#REF!</definedName>
    <definedName name="REMP_11">#REF!</definedName>
    <definedName name="REMP_12">#REF!</definedName>
    <definedName name="REMP_13">#REF!</definedName>
    <definedName name="REMP_14">#REF!</definedName>
    <definedName name="REMP_15">#REF!</definedName>
    <definedName name="REMP_16">#REF!</definedName>
    <definedName name="REMP_17">#REF!</definedName>
    <definedName name="REMP_18">#REF!</definedName>
    <definedName name="REMP_5">#REF!</definedName>
    <definedName name="REMP_6">#REF!</definedName>
    <definedName name="REMP_7">#REF!</definedName>
    <definedName name="REMP_8">#REF!</definedName>
    <definedName name="REMP_9">#REF!</definedName>
    <definedName name="Rendimento">#REF!</definedName>
    <definedName name="RERSA">#REF!</definedName>
    <definedName name="RES" localSheetId="1">[0]!RES</definedName>
    <definedName name="RES">#N/A</definedName>
    <definedName name="res_38" localSheetId="1">#REF!</definedName>
    <definedName name="res_38">#REF!</definedName>
    <definedName name="RESP">#REF!</definedName>
    <definedName name="respFiscal" localSheetId="1">[10]DADOS!$A$23</definedName>
    <definedName name="respFiscal">[11]DADOS!$A$23</definedName>
    <definedName name="respPLE" localSheetId="1">[10]DADOS!$A$20</definedName>
    <definedName name="respPLE">[11]DADOS!$A$20</definedName>
    <definedName name="restau" localSheetId="1">#REF!</definedName>
    <definedName name="restau">#REF!</definedName>
    <definedName name="RESTAURANTE">#REF!</definedName>
    <definedName name="resultadorendimento">#REF!</definedName>
    <definedName name="resumo" localSheetId="1">#REF!</definedName>
    <definedName name="resumo">#REF!</definedName>
    <definedName name="RESUMO." localSheetId="1">[0]!RESUMO.</definedName>
    <definedName name="RESUMO.">#N/A</definedName>
    <definedName name="RESUMO_1" localSheetId="1">#REF!</definedName>
    <definedName name="RESUMO_1">#REF!</definedName>
    <definedName name="RESUMO_10">#REF!</definedName>
    <definedName name="RESUMO_12">#REF!</definedName>
    <definedName name="RESUMO_13">#REF!</definedName>
    <definedName name="RESUMO_19">#REF!</definedName>
    <definedName name="RESUMO_2">#REF!</definedName>
    <definedName name="RESUMO_21">#REF!</definedName>
    <definedName name="RESUMO_23">#REF!</definedName>
    <definedName name="RESUMO_24">#REF!</definedName>
    <definedName name="RESUMO_26">#REF!</definedName>
    <definedName name="RESUMO_27">#REF!</definedName>
    <definedName name="RESUMO_29">#REF!</definedName>
    <definedName name="RESUMO_30">#REF!</definedName>
    <definedName name="RESUMO_31">#REF!</definedName>
    <definedName name="RESUMO_33">#REF!</definedName>
    <definedName name="RESUMO_34">#REF!</definedName>
    <definedName name="RESUMO_35">#REF!</definedName>
    <definedName name="RESUMO_36">#REF!</definedName>
    <definedName name="RESUMO_37">#REF!</definedName>
    <definedName name="RESUMO_38">#REF!</definedName>
    <definedName name="RESUMO_39">#REF!</definedName>
    <definedName name="RESUMO_4">#REF!</definedName>
    <definedName name="RESUMO_40">#REF!</definedName>
    <definedName name="RESUMO_41">#REF!</definedName>
    <definedName name="RESUMO_42">#REF!</definedName>
    <definedName name="RESUMO_43">#REF!</definedName>
    <definedName name="RESUMO_44">#REF!</definedName>
    <definedName name="RESUMO_45">#REF!</definedName>
    <definedName name="RESUMO_46">#REF!</definedName>
    <definedName name="RESUMO_47">#REF!</definedName>
    <definedName name="RESUMO_48">#REF!</definedName>
    <definedName name="RESUMO_51">#REF!</definedName>
    <definedName name="RESUMO_52">#REF!</definedName>
    <definedName name="RESUMO_53">#REF!</definedName>
    <definedName name="RESUMO_54">#REF!</definedName>
    <definedName name="RESUMO_55">#REF!</definedName>
    <definedName name="RESUMO_56">#REF!</definedName>
    <definedName name="RESUMO_57">#REF!</definedName>
    <definedName name="RESUMO_58">#REF!</definedName>
    <definedName name="RESUMO_59">#REF!</definedName>
    <definedName name="RESUMO_60">#REF!</definedName>
    <definedName name="RESUMO_61">#REF!</definedName>
    <definedName name="RESUMO_62">#REF!</definedName>
    <definedName name="RESUMO_63">#REF!</definedName>
    <definedName name="RESUMO_64">#REF!</definedName>
    <definedName name="RESUMO_65">#REF!</definedName>
    <definedName name="RESUMO_66">#REF!</definedName>
    <definedName name="RESUMO_67">#REF!</definedName>
    <definedName name="RESUMO_68">#REF!</definedName>
    <definedName name="RESUMO_69">#REF!</definedName>
    <definedName name="RESUMO_7">#REF!</definedName>
    <definedName name="RESUMO_70">#REF!</definedName>
    <definedName name="RESUMO_71">#REF!</definedName>
    <definedName name="RESUMO_72">#REF!</definedName>
    <definedName name="RESUMO_8">#REF!</definedName>
    <definedName name="Resumo_dados">#REF!</definedName>
    <definedName name="Resumo_de_Acompanhamento" localSheetId="1">OFFSET([10]Resumo_de_Acompanhamento!$B$13,1,0):OFFSET([10]Resumo_de_Acompanhamento!$M$38,-1,0)</definedName>
    <definedName name="Resumo_de_Acompanhamento">OFFSET([11]Resumo_de_Acompanhamento!$B$13,1,0):OFFSET([11]Resumo_de_Acompanhamento!$M$38,-1,0)</definedName>
    <definedName name="RESUMO1" localSheetId="1">[0]!RESUMO1</definedName>
    <definedName name="RESUMO1">#N/A</definedName>
    <definedName name="resumo2" localSheetId="1">#REF!</definedName>
    <definedName name="resumo2">#REF!</definedName>
    <definedName name="resumo2_2">#REF!</definedName>
    <definedName name="resumo2_4">#REF!</definedName>
    <definedName name="resumo2_4_2">#REF!</definedName>
    <definedName name="REV">#REF!</definedName>
    <definedName name="REV.">#REF!</definedName>
    <definedName name="REV_10">#REF!</definedName>
    <definedName name="REV_11">#REF!</definedName>
    <definedName name="REV_12">#REF!</definedName>
    <definedName name="REV_13">#REF!</definedName>
    <definedName name="REV_14">#REF!</definedName>
    <definedName name="REV_15">#REF!</definedName>
    <definedName name="REV_16">#REF!</definedName>
    <definedName name="REV_17">#REF!</definedName>
    <definedName name="REV_18">#REF!</definedName>
    <definedName name="REV_5">#REF!</definedName>
    <definedName name="REV_6">#REF!</definedName>
    <definedName name="REV_7">#REF!</definedName>
    <definedName name="REV_8">#REF!</definedName>
    <definedName name="REV_9">#REF!</definedName>
    <definedName name="RFL">#REF!</definedName>
    <definedName name="rft">#REF!</definedName>
    <definedName name="RG">#REF!</definedName>
    <definedName name="RGC">#REF!</definedName>
    <definedName name="RIJ">#REF!</definedName>
    <definedName name="rio" localSheetId="1" hidden="1">{#N/A,#N/A,FALSE,"Cronograma";#N/A,#N/A,FALSE,"Cronogr. 2"}</definedName>
    <definedName name="rio">{#N/A,#N/A,FALSE,"Cronograma";#N/A,#N/A,FALSE,"Cronogr. 2"}</definedName>
    <definedName name="Risco" localSheetId="1">#REF!</definedName>
    <definedName name="Risco">#REF!</definedName>
    <definedName name="RJO">#REF!</definedName>
    <definedName name="RLA">#REF!</definedName>
    <definedName name="RM">#REF!</definedName>
    <definedName name="RM1C">#REF!</definedName>
    <definedName name="RM1CW">#REF!</definedName>
    <definedName name="RM1CWA">#REF!</definedName>
    <definedName name="RMA">'[3]pro-08'!#REF!</definedName>
    <definedName name="RMA_10" localSheetId="1">#REF!</definedName>
    <definedName name="RMA_10">#REF!</definedName>
    <definedName name="RMA_11">#REF!</definedName>
    <definedName name="RMA_12">#REF!</definedName>
    <definedName name="RMA_13">#REF!</definedName>
    <definedName name="RMA_14">#REF!</definedName>
    <definedName name="RMA_15">#REF!</definedName>
    <definedName name="RMA_16">#REF!</definedName>
    <definedName name="RMA_17">#REF!</definedName>
    <definedName name="RMA_18">#REF!</definedName>
    <definedName name="RMA_5">#REF!</definedName>
    <definedName name="RMA_6">#REF!</definedName>
    <definedName name="RMA_7">#REF!</definedName>
    <definedName name="RMA_8">#REF!</definedName>
    <definedName name="RMA_9">#REF!</definedName>
    <definedName name="RMAN">#REF!</definedName>
    <definedName name="RMAW">#REF!</definedName>
    <definedName name="RMAWA">#REF!</definedName>
    <definedName name="RMCC">#REF!</definedName>
    <definedName name="RMCCW">#REF!</definedName>
    <definedName name="RMCCWA">#REF!</definedName>
    <definedName name="RMEC">#REF!</definedName>
    <definedName name="RMN">#REF!</definedName>
    <definedName name="RMRB">#REF!</definedName>
    <definedName name="RMTOTAL">#REF!</definedName>
    <definedName name="RMW">#REF!</definedName>
    <definedName name="RMWA">#REF!</definedName>
    <definedName name="RMZ">#REF!</definedName>
    <definedName name="RMZW">#REF!</definedName>
    <definedName name="RMZWA">#REF!</definedName>
    <definedName name="Rod">#REF!</definedName>
    <definedName name="rodo">#REF!</definedName>
    <definedName name="Rodovia">#REF!</definedName>
    <definedName name="Rodovia___................">#REF!</definedName>
    <definedName name="ROMZ">#REF!</definedName>
    <definedName name="rp">#REF!</definedName>
    <definedName name="rp_2">#REF!</definedName>
    <definedName name="RP110PI">#REF!</definedName>
    <definedName name="RP110PI_2">#REF!</definedName>
    <definedName name="RP110R">#REF!</definedName>
    <definedName name="RP110R_2">#REF!</definedName>
    <definedName name="RP316PI">#REF!</definedName>
    <definedName name="RP316PI_2">#REF!</definedName>
    <definedName name="RP316R">#REF!</definedName>
    <definedName name="RP316R_2">#REF!</definedName>
    <definedName name="RP423PI">#REF!</definedName>
    <definedName name="RP423PI_2">#REF!</definedName>
    <definedName name="RP423R">#REF!</definedName>
    <definedName name="RP423R_2">#REF!</definedName>
    <definedName name="RPA">#REF!</definedName>
    <definedName name="RPL">#REF!</definedName>
    <definedName name="RPMAN">#REF!</definedName>
    <definedName name="RPMEC">#REF!</definedName>
    <definedName name="RPS">#REF!</definedName>
    <definedName name="RPT">#REF!</definedName>
    <definedName name="RPW">#REF!</definedName>
    <definedName name="RPWA">#REF!</definedName>
    <definedName name="RPZ">#REF!</definedName>
    <definedName name="RR" localSheetId="1">#REF!</definedName>
    <definedName name="RR">#REF!</definedName>
    <definedName name="RR1C">#REF!</definedName>
    <definedName name="RR1CW">#REF!</definedName>
    <definedName name="RR1CWA">#REF!</definedName>
    <definedName name="rraauf">#REF!</definedName>
    <definedName name="rraauf_2">#REF!</definedName>
    <definedName name="rraauq">#REF!</definedName>
    <definedName name="rraauq_2">#REF!</definedName>
    <definedName name="rrff">#REF!</definedName>
    <definedName name="rrfff">#REF!</definedName>
    <definedName name="RRMBUQ">#REF!</definedName>
    <definedName name="RRMBUQW">#REF!</definedName>
    <definedName name="RRMBUQWA">#REF!</definedName>
    <definedName name="RRP">#REF!</definedName>
    <definedName name="RRPL">#REF!</definedName>
    <definedName name="RRPL_10">#REF!</definedName>
    <definedName name="RRPL_11">#REF!</definedName>
    <definedName name="RRPL_12">#REF!</definedName>
    <definedName name="RRPL_13">#REF!</definedName>
    <definedName name="RRPL_14">#REF!</definedName>
    <definedName name="RRPL_15">#REF!</definedName>
    <definedName name="RRPL_16">#REF!</definedName>
    <definedName name="RRPL_17">#REF!</definedName>
    <definedName name="RRPL_18">#REF!</definedName>
    <definedName name="RRPL_5">#REF!</definedName>
    <definedName name="RRPL_6">#REF!</definedName>
    <definedName name="RRPL_7">#REF!</definedName>
    <definedName name="RRPL_8">#REF!</definedName>
    <definedName name="RRPL_9">#REF!</definedName>
    <definedName name="RRQ">#REF!</definedName>
    <definedName name="rrr">#REF!</definedName>
    <definedName name="RRS">#REF!</definedName>
    <definedName name="RRTOTAL">#REF!</definedName>
    <definedName name="RRVQ">#REF!</definedName>
    <definedName name="RS" localSheetId="1">#REF!</definedName>
    <definedName name="RS">#REF!</definedName>
    <definedName name="RS_2">#REF!</definedName>
    <definedName name="RS_4">#REF!</definedName>
    <definedName name="rsa">#REF!</definedName>
    <definedName name="RSM">#REF!</definedName>
    <definedName name="RSS">#REF!</definedName>
    <definedName name="RTB">#REF!</definedName>
    <definedName name="RVI">#REF!</definedName>
    <definedName name="RZ">#REF!</definedName>
    <definedName name="s" localSheetId="1" hidden="1">{#N/A,#N/A,FALSE,"MO (2)"}</definedName>
    <definedName name="s">{#N/A,#N/A,FALSE,"MO (2)"}</definedName>
    <definedName name="SACO" localSheetId="1">#REF!</definedName>
    <definedName name="SACO">#REF!</definedName>
    <definedName name="SACO2">#REF!</definedName>
    <definedName name="SACO3">#REF!</definedName>
    <definedName name="sad" localSheetId="1">#REF!</definedName>
    <definedName name="sad">#REF!</definedName>
    <definedName name="SALARIOS" localSheetId="1">#REF!</definedName>
    <definedName name="SALARIOS">#REF!</definedName>
    <definedName name="Salas">#REF!</definedName>
    <definedName name="SAO" localSheetId="1" hidden="1">{#N/A,#N/A,FALSE,"Planilha";#N/A,#N/A,FALSE,"Resumo";#N/A,#N/A,FALSE,"Fisico";#N/A,#N/A,FALSE,"Financeiro";#N/A,#N/A,FALSE,"Financeiro"}</definedName>
    <definedName name="SAO">{#N/A,#N/A,FALSE,"Planilha";#N/A,#N/A,FALSE,"Resumo";#N/A,#N/A,FALSE,"Fisico";#N/A,#N/A,FALSE,"Financeiro";#N/A,#N/A,FALSE,"Financeiro"}</definedName>
    <definedName name="SAO_11" localSheetId="1">#REF!</definedName>
    <definedName name="SAO_11">#REF!</definedName>
    <definedName name="SAO_12">#REF!</definedName>
    <definedName name="SAO_13">#REF!</definedName>
    <definedName name="SAO_14">#REF!</definedName>
    <definedName name="SAO_15">#REF!</definedName>
    <definedName name="SAO_19">#REF!</definedName>
    <definedName name="SAO_19_1">#REF!</definedName>
    <definedName name="Sarjeta">#REF!</definedName>
    <definedName name="SASASA">#REF!</definedName>
    <definedName name="sasda">#REF!</definedName>
    <definedName name="sasdaa">#REF!</definedName>
    <definedName name="SB">#REF!</definedName>
    <definedName name="sb_2">#REF!</definedName>
    <definedName name="sbg" localSheetId="1">#REF!</definedName>
    <definedName name="sbg">#REF!</definedName>
    <definedName name="sbg_2">#REF!</definedName>
    <definedName name="sbg_4">#REF!</definedName>
    <definedName name="sbgg">#REF!</definedName>
    <definedName name="SBL">#REF!</definedName>
    <definedName name="SBRP">#REF!</definedName>
    <definedName name="sbrp.">#REF!</definedName>
    <definedName name="SBRP_2">#REF!</definedName>
    <definedName name="sbsdbsdb" localSheetId="1">#REF!</definedName>
    <definedName name="sbsdbsdb">#REF!</definedName>
    <definedName name="SBT">#REF!</definedName>
    <definedName name="SBTC" localSheetId="1">#REF!</definedName>
    <definedName name="SBTC">#REF!</definedName>
    <definedName name="SBTC_2">#REF!</definedName>
    <definedName name="SBTC_4">#REF!</definedName>
    <definedName name="SBTCC">#REF!</definedName>
    <definedName name="SC">#REF!</definedName>
    <definedName name="SCB">#REF!</definedName>
    <definedName name="SDAGSADGF">#REF!</definedName>
    <definedName name="sdbbsdb" localSheetId="1">#REF!</definedName>
    <definedName name="sdbbsdb">#REF!</definedName>
    <definedName name="sdbsdb" localSheetId="1">#REF!</definedName>
    <definedName name="sdbsdb">#REF!</definedName>
    <definedName name="sdf" localSheetId="1">#REF!</definedName>
    <definedName name="sdf">#REF!</definedName>
    <definedName name="sdfs">#REF!</definedName>
    <definedName name="sdfsd">#REF!</definedName>
    <definedName name="sdfsdf">#REF!</definedName>
    <definedName name="SDFSV">#REF!</definedName>
    <definedName name="sds" localSheetId="1">#REF!</definedName>
    <definedName name="sds">#REF!</definedName>
    <definedName name="sdsd">#REF!</definedName>
    <definedName name="SE">#REF!</definedName>
    <definedName name="Segmento">#REF!</definedName>
    <definedName name="SEMP100">#REF!</definedName>
    <definedName name="SEMP109">#REF!</definedName>
    <definedName name="SEMP164">#REF!</definedName>
    <definedName name="SEMP221">#REF!</definedName>
    <definedName name="SEMP223">#REF!</definedName>
    <definedName name="SEMP225">#REF!</definedName>
    <definedName name="SEMP235">#REF!</definedName>
    <definedName name="SEMP237">#REF!</definedName>
    <definedName name="SEMP258">#REF!</definedName>
    <definedName name="SEMP270">#REF!</definedName>
    <definedName name="SEMP271">#REF!</definedName>
    <definedName name="SEMP2731">#REF!</definedName>
    <definedName name="SEMP2732">#REF!</definedName>
    <definedName name="SEMP274">#REF!</definedName>
    <definedName name="SEMP333">#REF!</definedName>
    <definedName name="SEMP337">#REF!</definedName>
    <definedName name="SEMP352">#REF!</definedName>
    <definedName name="SEMP387ZC">#REF!</definedName>
    <definedName name="SEMP387ZN">#REF!</definedName>
    <definedName name="SEMP387ZS">#REF!</definedName>
    <definedName name="sencount">1</definedName>
    <definedName name="senha" localSheetId="1">#REF!</definedName>
    <definedName name="senha">#REF!</definedName>
    <definedName name="SENHAGT">"eventosglobais"</definedName>
    <definedName name="SERV" localSheetId="1">#REF!</definedName>
    <definedName name="SERV">#REF!</definedName>
    <definedName name="Serv_prev">#REF!</definedName>
    <definedName name="Serv_prev_4">#REF!</definedName>
    <definedName name="Serv_prevv">#REF!</definedName>
    <definedName name="SERVCOMPL">#REF!</definedName>
    <definedName name="serviço">#REF!</definedName>
    <definedName name="servico_4">#REF!</definedName>
    <definedName name="servico_4_2">#REF!</definedName>
    <definedName name="servico_6">#REF!</definedName>
    <definedName name="servico_6_2">#REF!</definedName>
    <definedName name="servico_7_2">#REF!</definedName>
    <definedName name="servico_8">#REF!</definedName>
    <definedName name="servico_8_2">#REF!</definedName>
    <definedName name="servico_9">#REF!</definedName>
    <definedName name="servico_9_2">#REF!</definedName>
    <definedName name="serviço1">#REF!</definedName>
    <definedName name="SERVPRE" localSheetId="1">#REF!</definedName>
    <definedName name="SERVPRE">#REF!</definedName>
    <definedName name="SET">#REF!</definedName>
    <definedName name="SETA">#REF!</definedName>
    <definedName name="SETEMBRO">#REF!</definedName>
    <definedName name="SETEMBROO">#REF!</definedName>
    <definedName name="SEVE">#REF!</definedName>
    <definedName name="seven">#REF!</definedName>
    <definedName name="sfahjbrgoaiejrbg" localSheetId="1">#REF!</definedName>
    <definedName name="sfahjbrgoaiejrbg">#REF!</definedName>
    <definedName name="sfds">#REF!</definedName>
    <definedName name="SG_01_01" localSheetId="1">#REF!</definedName>
    <definedName name="SG_01_01">#REF!</definedName>
    <definedName name="SG_01_02" localSheetId="1">#REF!</definedName>
    <definedName name="SG_01_02">#REF!</definedName>
    <definedName name="SG_01_03" localSheetId="1">#REF!</definedName>
    <definedName name="SG_01_03">#REF!</definedName>
    <definedName name="SG_01_04" localSheetId="1">#REF!</definedName>
    <definedName name="SG_01_04">#REF!</definedName>
    <definedName name="SG_01_05" localSheetId="1">#REF!</definedName>
    <definedName name="SG_01_05">#REF!</definedName>
    <definedName name="SG_01_06" localSheetId="1">#REF!</definedName>
    <definedName name="SG_01_06">#REF!</definedName>
    <definedName name="SG_01_07" localSheetId="1">#REF!</definedName>
    <definedName name="SG_01_07">#REF!</definedName>
    <definedName name="SG_01_08" localSheetId="1">#REF!</definedName>
    <definedName name="SG_01_08">#REF!</definedName>
    <definedName name="SG_01_09" localSheetId="1">#REF!</definedName>
    <definedName name="SG_01_09">#REF!</definedName>
    <definedName name="SG_01_10" localSheetId="1">#REF!</definedName>
    <definedName name="SG_01_10">#REF!</definedName>
    <definedName name="SG_01_11" localSheetId="1">#REF!</definedName>
    <definedName name="SG_01_11">#REF!</definedName>
    <definedName name="SG_01_12" localSheetId="1">#REF!</definedName>
    <definedName name="SG_01_12">#REF!</definedName>
    <definedName name="SG_01_13" localSheetId="1">#REF!</definedName>
    <definedName name="SG_01_13">#REF!</definedName>
    <definedName name="SG_01_14" localSheetId="1">#REF!</definedName>
    <definedName name="SG_01_14">#REF!</definedName>
    <definedName name="SG_01_15" localSheetId="1">#REF!</definedName>
    <definedName name="SG_01_15">#REF!</definedName>
    <definedName name="SG_02_01" localSheetId="1">#REF!</definedName>
    <definedName name="SG_02_01">#REF!</definedName>
    <definedName name="SG_02_02" localSheetId="1">#REF!</definedName>
    <definedName name="SG_02_02">#REF!</definedName>
    <definedName name="SG_02_03" localSheetId="1">#REF!</definedName>
    <definedName name="SG_02_03">#REF!</definedName>
    <definedName name="SG_02_04" localSheetId="1">#REF!</definedName>
    <definedName name="SG_02_04">#REF!</definedName>
    <definedName name="SG_02_05" localSheetId="1">#REF!</definedName>
    <definedName name="SG_02_05">#REF!</definedName>
    <definedName name="SG_02_06" localSheetId="1">#REF!</definedName>
    <definedName name="SG_02_06">#REF!</definedName>
    <definedName name="SG_02_07" localSheetId="1">#REF!</definedName>
    <definedName name="SG_02_07">#REF!</definedName>
    <definedName name="SG_02_08" localSheetId="1">#REF!</definedName>
    <definedName name="SG_02_08">#REF!</definedName>
    <definedName name="SG_02_09" localSheetId="1">#REF!</definedName>
    <definedName name="SG_02_09">#REF!</definedName>
    <definedName name="SG_02_10" localSheetId="1">#REF!</definedName>
    <definedName name="SG_02_10">#REF!</definedName>
    <definedName name="SG_02_11" localSheetId="1">#REF!</definedName>
    <definedName name="SG_02_11">#REF!</definedName>
    <definedName name="SG_02_12" localSheetId="1">#REF!</definedName>
    <definedName name="SG_02_12">#REF!</definedName>
    <definedName name="SG_02_13" localSheetId="1">#REF!</definedName>
    <definedName name="SG_02_13">#REF!</definedName>
    <definedName name="SG_02_14" localSheetId="1">#REF!</definedName>
    <definedName name="SG_02_14">#REF!</definedName>
    <definedName name="SG_02_15" localSheetId="1">#REF!</definedName>
    <definedName name="SG_02_15">#REF!</definedName>
    <definedName name="SG_03_01" localSheetId="1">#REF!</definedName>
    <definedName name="SG_03_01">#REF!</definedName>
    <definedName name="SG_03_02" localSheetId="1">#REF!</definedName>
    <definedName name="SG_03_02">#REF!</definedName>
    <definedName name="SG_03_03" localSheetId="1">#REF!</definedName>
    <definedName name="SG_03_03">#REF!</definedName>
    <definedName name="SG_03_04" localSheetId="1">#REF!</definedName>
    <definedName name="SG_03_04">#REF!</definedName>
    <definedName name="SG_03_05" localSheetId="1">#REF!</definedName>
    <definedName name="SG_03_05">#REF!</definedName>
    <definedName name="SG_03_06" localSheetId="1">#REF!</definedName>
    <definedName name="SG_03_06">#REF!</definedName>
    <definedName name="SG_03_07" localSheetId="1">#REF!</definedName>
    <definedName name="SG_03_07">#REF!</definedName>
    <definedName name="SG_03_08" localSheetId="1">#REF!</definedName>
    <definedName name="SG_03_08">#REF!</definedName>
    <definedName name="SG_03_09" localSheetId="1">#REF!</definedName>
    <definedName name="SG_03_09">#REF!</definedName>
    <definedName name="SG_03_10" localSheetId="1">#REF!</definedName>
    <definedName name="SG_03_10">#REF!</definedName>
    <definedName name="SG_03_11" localSheetId="1">#REF!</definedName>
    <definedName name="SG_03_11">#REF!</definedName>
    <definedName name="SG_03_12" localSheetId="1">#REF!</definedName>
    <definedName name="SG_03_12">#REF!</definedName>
    <definedName name="SG_03_13" localSheetId="1">#REF!</definedName>
    <definedName name="SG_03_13">#REF!</definedName>
    <definedName name="SG_03_14" localSheetId="1">#REF!</definedName>
    <definedName name="SG_03_14">#REF!</definedName>
    <definedName name="SG_03_15" localSheetId="1">#REF!</definedName>
    <definedName name="SG_03_15">#REF!</definedName>
    <definedName name="SG_03_17" localSheetId="1">#REF!</definedName>
    <definedName name="SG_03_17">#REF!</definedName>
    <definedName name="SG_03_18" localSheetId="1">#REF!</definedName>
    <definedName name="SG_03_18">#REF!</definedName>
    <definedName name="SG_04_01" localSheetId="1">#REF!</definedName>
    <definedName name="SG_04_01">#REF!</definedName>
    <definedName name="SG_04_02" localSheetId="1">#REF!</definedName>
    <definedName name="SG_04_02">#REF!</definedName>
    <definedName name="SG_04_03" localSheetId="1">#REF!</definedName>
    <definedName name="SG_04_03">#REF!</definedName>
    <definedName name="SG_04_04" localSheetId="1">#REF!</definedName>
    <definedName name="SG_04_04">#REF!</definedName>
    <definedName name="SG_04_05" localSheetId="1">#REF!</definedName>
    <definedName name="SG_04_05">#REF!</definedName>
    <definedName name="SG_04_06" localSheetId="1">#REF!</definedName>
    <definedName name="SG_04_06">#REF!</definedName>
    <definedName name="SG_04_07" localSheetId="1">#REF!</definedName>
    <definedName name="SG_04_07">#REF!</definedName>
    <definedName name="SG_04_08" localSheetId="1">#REF!</definedName>
    <definedName name="SG_04_08">#REF!</definedName>
    <definedName name="SG_04_09" localSheetId="1">#REF!</definedName>
    <definedName name="SG_04_09">#REF!</definedName>
    <definedName name="SG_04_10" localSheetId="1">#REF!</definedName>
    <definedName name="SG_04_10">#REF!</definedName>
    <definedName name="SG_04_11" localSheetId="1">#REF!</definedName>
    <definedName name="SG_04_11">#REF!</definedName>
    <definedName name="SG_04_12" localSheetId="1">#REF!</definedName>
    <definedName name="SG_04_12">#REF!</definedName>
    <definedName name="SG_04_13" localSheetId="1">#REF!</definedName>
    <definedName name="SG_04_13">#REF!</definedName>
    <definedName name="SG_04_14" localSheetId="1">#REF!</definedName>
    <definedName name="SG_04_14">#REF!</definedName>
    <definedName name="SG_04_15" localSheetId="1">#REF!</definedName>
    <definedName name="SG_04_15">#REF!</definedName>
    <definedName name="SG_05_01" localSheetId="1">#REF!</definedName>
    <definedName name="SG_05_01">#REF!</definedName>
    <definedName name="SG_05_02" localSheetId="1">#REF!</definedName>
    <definedName name="SG_05_02">#REF!</definedName>
    <definedName name="SG_05_03" localSheetId="1">#REF!</definedName>
    <definedName name="SG_05_03">#REF!</definedName>
    <definedName name="SG_05_04" localSheetId="1">#REF!</definedName>
    <definedName name="SG_05_04">#REF!</definedName>
    <definedName name="SG_05_05" localSheetId="1">#REF!</definedName>
    <definedName name="SG_05_05">#REF!</definedName>
    <definedName name="SG_05_06" localSheetId="1">#REF!</definedName>
    <definedName name="SG_05_06">#REF!</definedName>
    <definedName name="SG_05_07" localSheetId="1">#REF!</definedName>
    <definedName name="SG_05_07">#REF!</definedName>
    <definedName name="SG_05_08" localSheetId="1">#REF!</definedName>
    <definedName name="SG_05_08">#REF!</definedName>
    <definedName name="SG_05_09" localSheetId="1">#REF!</definedName>
    <definedName name="SG_05_09">#REF!</definedName>
    <definedName name="SG_05_10" localSheetId="1">#REF!</definedName>
    <definedName name="SG_05_10">#REF!</definedName>
    <definedName name="SG_05_11" localSheetId="1">#REF!</definedName>
    <definedName name="SG_05_11">#REF!</definedName>
    <definedName name="SG_05_12" localSheetId="1">#REF!</definedName>
    <definedName name="SG_05_12">#REF!</definedName>
    <definedName name="SG_05_13" localSheetId="1">#REF!</definedName>
    <definedName name="SG_05_13">#REF!</definedName>
    <definedName name="SG_05_14" localSheetId="1">#REF!</definedName>
    <definedName name="SG_05_14">#REF!</definedName>
    <definedName name="SG_05_15" localSheetId="1">#REF!</definedName>
    <definedName name="SG_05_15">#REF!</definedName>
    <definedName name="SG_06_01" localSheetId="1">#REF!</definedName>
    <definedName name="SG_06_01">#REF!</definedName>
    <definedName name="SG_06_02" localSheetId="1">#REF!</definedName>
    <definedName name="SG_06_02">#REF!</definedName>
    <definedName name="SG_06_03" localSheetId="1">#REF!</definedName>
    <definedName name="SG_06_03">#REF!</definedName>
    <definedName name="SG_06_04" localSheetId="1">#REF!</definedName>
    <definedName name="SG_06_04">#REF!</definedName>
    <definedName name="SG_06_05" localSheetId="1">#REF!</definedName>
    <definedName name="SG_06_05">#REF!</definedName>
    <definedName name="SG_06_06" localSheetId="1">#REF!</definedName>
    <definedName name="SG_06_06">#REF!</definedName>
    <definedName name="SG_06_07" localSheetId="1">#REF!</definedName>
    <definedName name="SG_06_07">#REF!</definedName>
    <definedName name="SG_06_08" localSheetId="1">#REF!</definedName>
    <definedName name="SG_06_08">#REF!</definedName>
    <definedName name="SG_06_09" localSheetId="1">#REF!</definedName>
    <definedName name="SG_06_09">#REF!</definedName>
    <definedName name="SG_06_10" localSheetId="1">#REF!</definedName>
    <definedName name="SG_06_10">#REF!</definedName>
    <definedName name="SG_06_11" localSheetId="1">#REF!</definedName>
    <definedName name="SG_06_11">#REF!</definedName>
    <definedName name="SG_06_12" localSheetId="1">#REF!</definedName>
    <definedName name="SG_06_12">#REF!</definedName>
    <definedName name="SG_06_13" localSheetId="1">#REF!</definedName>
    <definedName name="SG_06_13">#REF!</definedName>
    <definedName name="SG_06_14" localSheetId="1">#REF!</definedName>
    <definedName name="SG_06_14">#REF!</definedName>
    <definedName name="SG_06_15" localSheetId="1">#REF!</definedName>
    <definedName name="SG_06_15">#REF!</definedName>
    <definedName name="SG_07_01" localSheetId="1">#REF!</definedName>
    <definedName name="SG_07_01">#REF!</definedName>
    <definedName name="SG_07_02" localSheetId="1">#REF!</definedName>
    <definedName name="SG_07_02">#REF!</definedName>
    <definedName name="SG_07_03" localSheetId="1">#REF!</definedName>
    <definedName name="SG_07_03">#REF!</definedName>
    <definedName name="SG_07_04" localSheetId="1">#REF!</definedName>
    <definedName name="SG_07_04">#REF!</definedName>
    <definedName name="SG_07_05" localSheetId="1">#REF!</definedName>
    <definedName name="SG_07_05">#REF!</definedName>
    <definedName name="SG_07_06" localSheetId="1">#REF!</definedName>
    <definedName name="SG_07_06">#REF!</definedName>
    <definedName name="SG_07_07" localSheetId="1">#REF!</definedName>
    <definedName name="SG_07_07">#REF!</definedName>
    <definedName name="SG_07_08" localSheetId="1">#REF!</definedName>
    <definedName name="SG_07_08">#REF!</definedName>
    <definedName name="SG_07_09" localSheetId="1">#REF!</definedName>
    <definedName name="SG_07_09">#REF!</definedName>
    <definedName name="SG_07_10" localSheetId="1">#REF!</definedName>
    <definedName name="SG_07_10">#REF!</definedName>
    <definedName name="SG_07_11" localSheetId="1">#REF!</definedName>
    <definedName name="SG_07_11">#REF!</definedName>
    <definedName name="SG_07_12" localSheetId="1">#REF!</definedName>
    <definedName name="SG_07_12">#REF!</definedName>
    <definedName name="SG_07_13" localSheetId="1">#REF!</definedName>
    <definedName name="SG_07_13">#REF!</definedName>
    <definedName name="SG_07_14" localSheetId="1">#REF!</definedName>
    <definedName name="SG_07_14">#REF!</definedName>
    <definedName name="SG_07_15" localSheetId="1">#REF!</definedName>
    <definedName name="SG_07_15">#REF!</definedName>
    <definedName name="SG_08_01" localSheetId="1">#REF!</definedName>
    <definedName name="SG_08_01">#REF!</definedName>
    <definedName name="SG_08_02" localSheetId="1">#REF!</definedName>
    <definedName name="SG_08_02">#REF!</definedName>
    <definedName name="SG_08_03" localSheetId="1">#REF!</definedName>
    <definedName name="SG_08_03">#REF!</definedName>
    <definedName name="SG_08_04" localSheetId="1">#REF!</definedName>
    <definedName name="SG_08_04">#REF!</definedName>
    <definedName name="SG_08_05" localSheetId="1">#REF!</definedName>
    <definedName name="SG_08_05">#REF!</definedName>
    <definedName name="SG_08_06" localSheetId="1">#REF!</definedName>
    <definedName name="SG_08_06">#REF!</definedName>
    <definedName name="SG_08_07" localSheetId="1">#REF!</definedName>
    <definedName name="SG_08_07">#REF!</definedName>
    <definedName name="SG_08_08" localSheetId="1">#REF!</definedName>
    <definedName name="SG_08_08">#REF!</definedName>
    <definedName name="SG_08_09" localSheetId="1">#REF!</definedName>
    <definedName name="SG_08_09">#REF!</definedName>
    <definedName name="SG_08_10" localSheetId="1">#REF!</definedName>
    <definedName name="SG_08_10">#REF!</definedName>
    <definedName name="SG_08_11" localSheetId="1">#REF!</definedName>
    <definedName name="SG_08_11">#REF!</definedName>
    <definedName name="SG_08_12" localSheetId="1">#REF!</definedName>
    <definedName name="SG_08_12">#REF!</definedName>
    <definedName name="SG_08_13" localSheetId="1">#REF!</definedName>
    <definedName name="SG_08_13">#REF!</definedName>
    <definedName name="SG_08_14" localSheetId="1">#REF!</definedName>
    <definedName name="SG_08_14">#REF!</definedName>
    <definedName name="SG_08_15" localSheetId="1">#REF!</definedName>
    <definedName name="SG_08_15">#REF!</definedName>
    <definedName name="SG_09_01" localSheetId="1">#REF!</definedName>
    <definedName name="SG_09_01">#REF!</definedName>
    <definedName name="SG_09_02" localSheetId="1">#REF!</definedName>
    <definedName name="SG_09_02">#REF!</definedName>
    <definedName name="SG_09_03" localSheetId="1">#REF!</definedName>
    <definedName name="SG_09_03">#REF!</definedName>
    <definedName name="SG_09_04" localSheetId="1">#REF!</definedName>
    <definedName name="SG_09_04">#REF!</definedName>
    <definedName name="SG_09_05" localSheetId="1">#REF!</definedName>
    <definedName name="SG_09_05">#REF!</definedName>
    <definedName name="SG_09_06" localSheetId="1">#REF!</definedName>
    <definedName name="SG_09_06">#REF!</definedName>
    <definedName name="SG_09_07" localSheetId="1">#REF!</definedName>
    <definedName name="SG_09_07">#REF!</definedName>
    <definedName name="SG_09_08" localSheetId="1">#REF!</definedName>
    <definedName name="SG_09_08">#REF!</definedName>
    <definedName name="SG_09_09" localSheetId="1">#REF!</definedName>
    <definedName name="SG_09_09">#REF!</definedName>
    <definedName name="SG_09_10" localSheetId="1">#REF!</definedName>
    <definedName name="SG_09_10">#REF!</definedName>
    <definedName name="SG_09_11" localSheetId="1">#REF!</definedName>
    <definedName name="SG_09_11">#REF!</definedName>
    <definedName name="SG_09_12" localSheetId="1">#REF!</definedName>
    <definedName name="SG_09_12">#REF!</definedName>
    <definedName name="SG_09_13" localSheetId="1">#REF!</definedName>
    <definedName name="SG_09_13">#REF!</definedName>
    <definedName name="SG_09_14" localSheetId="1">#REF!</definedName>
    <definedName name="SG_09_14">#REF!</definedName>
    <definedName name="SG_09_15" localSheetId="1">#REF!</definedName>
    <definedName name="SG_09_15">#REF!</definedName>
    <definedName name="SG_10_01" localSheetId="1">#REF!</definedName>
    <definedName name="SG_10_01">#REF!</definedName>
    <definedName name="SG_10_02" localSheetId="1">#REF!</definedName>
    <definedName name="SG_10_02">#REF!</definedName>
    <definedName name="SG_10_03" localSheetId="1">#REF!</definedName>
    <definedName name="SG_10_03">#REF!</definedName>
    <definedName name="SG_10_04" localSheetId="1">#REF!</definedName>
    <definedName name="SG_10_04">#REF!</definedName>
    <definedName name="SG_10_05" localSheetId="1">#REF!</definedName>
    <definedName name="SG_10_05">#REF!</definedName>
    <definedName name="SG_10_06" localSheetId="1">#REF!</definedName>
    <definedName name="SG_10_06">#REF!</definedName>
    <definedName name="SG_10_07" localSheetId="1">#REF!</definedName>
    <definedName name="SG_10_07">#REF!</definedName>
    <definedName name="SG_10_08" localSheetId="1">#REF!</definedName>
    <definedName name="SG_10_08">#REF!</definedName>
    <definedName name="SG_10_09" localSheetId="1">#REF!</definedName>
    <definedName name="SG_10_09">#REF!</definedName>
    <definedName name="SG_10_10" localSheetId="1">#REF!</definedName>
    <definedName name="SG_10_10">#REF!</definedName>
    <definedName name="SG_10_11" localSheetId="1">#REF!</definedName>
    <definedName name="SG_10_11">#REF!</definedName>
    <definedName name="SG_10_12" localSheetId="1">#REF!</definedName>
    <definedName name="SG_10_12">#REF!</definedName>
    <definedName name="SG_10_13" localSheetId="1">#REF!</definedName>
    <definedName name="SG_10_13">#REF!</definedName>
    <definedName name="SG_10_14" localSheetId="1">#REF!</definedName>
    <definedName name="SG_10_14">#REF!</definedName>
    <definedName name="SG_10_15" localSheetId="1">#REF!</definedName>
    <definedName name="SG_10_15">#REF!</definedName>
    <definedName name="SG_11_01" localSheetId="1">#REF!</definedName>
    <definedName name="SG_11_01">#REF!</definedName>
    <definedName name="SG_11_02" localSheetId="1">#REF!</definedName>
    <definedName name="SG_11_02">#REF!</definedName>
    <definedName name="SG_11_03" localSheetId="1">#REF!</definedName>
    <definedName name="SG_11_03">#REF!</definedName>
    <definedName name="SG_11_04" localSheetId="1">#REF!</definedName>
    <definedName name="SG_11_04">#REF!</definedName>
    <definedName name="SG_11_05" localSheetId="1">#REF!</definedName>
    <definedName name="SG_11_05">#REF!</definedName>
    <definedName name="SG_11_06" localSheetId="1">#REF!</definedName>
    <definedName name="SG_11_06">#REF!</definedName>
    <definedName name="SG_11_07" localSheetId="1">#REF!</definedName>
    <definedName name="SG_11_07">#REF!</definedName>
    <definedName name="SG_11_08" localSheetId="1">#REF!</definedName>
    <definedName name="SG_11_08">#REF!</definedName>
    <definedName name="SG_11_09" localSheetId="1">#REF!</definedName>
    <definedName name="SG_11_09">#REF!</definedName>
    <definedName name="SG_11_10" localSheetId="1">#REF!</definedName>
    <definedName name="SG_11_10">#REF!</definedName>
    <definedName name="SG_11_11" localSheetId="1">#REF!</definedName>
    <definedName name="SG_11_11">#REF!</definedName>
    <definedName name="SG_11_12" localSheetId="1">#REF!</definedName>
    <definedName name="SG_11_12">#REF!</definedName>
    <definedName name="SG_11_13" localSheetId="1">#REF!</definedName>
    <definedName name="SG_11_13">#REF!</definedName>
    <definedName name="SG_11_14" localSheetId="1">#REF!</definedName>
    <definedName name="SG_11_14">#REF!</definedName>
    <definedName name="SG_11_15" localSheetId="1">#REF!</definedName>
    <definedName name="SG_11_15">#REF!</definedName>
    <definedName name="SG_12_01" localSheetId="1">#REF!</definedName>
    <definedName name="SG_12_01">#REF!</definedName>
    <definedName name="SG_12_02" localSheetId="1">#REF!</definedName>
    <definedName name="SG_12_02">#REF!</definedName>
    <definedName name="SG_12_03" localSheetId="1">#REF!</definedName>
    <definedName name="SG_12_03">#REF!</definedName>
    <definedName name="SG_12_04" localSheetId="1">#REF!</definedName>
    <definedName name="SG_12_04">#REF!</definedName>
    <definedName name="SG_12_05" localSheetId="1">#REF!</definedName>
    <definedName name="SG_12_05">#REF!</definedName>
    <definedName name="SG_12_06" localSheetId="1">#REF!</definedName>
    <definedName name="SG_12_06">#REF!</definedName>
    <definedName name="SG_12_07" localSheetId="1">#REF!</definedName>
    <definedName name="SG_12_07">#REF!</definedName>
    <definedName name="SG_12_08" localSheetId="1">#REF!</definedName>
    <definedName name="SG_12_08">#REF!</definedName>
    <definedName name="SG_12_09" localSheetId="1">#REF!</definedName>
    <definedName name="SG_12_09">#REF!</definedName>
    <definedName name="SG_12_10" localSheetId="1">#REF!</definedName>
    <definedName name="SG_12_10">#REF!</definedName>
    <definedName name="SG_12_11" localSheetId="1">#REF!</definedName>
    <definedName name="SG_12_11">#REF!</definedName>
    <definedName name="SG_12_12" localSheetId="1">#REF!</definedName>
    <definedName name="SG_12_12">#REF!</definedName>
    <definedName name="SG_12_13" localSheetId="1">#REF!</definedName>
    <definedName name="SG_12_13">#REF!</definedName>
    <definedName name="SG_12_14" localSheetId="1">#REF!</definedName>
    <definedName name="SG_12_14">#REF!</definedName>
    <definedName name="SG_12_15" localSheetId="1">#REF!</definedName>
    <definedName name="SG_12_15">#REF!</definedName>
    <definedName name="SG_12_16" localSheetId="1">#REF!</definedName>
    <definedName name="SG_12_16">#REF!</definedName>
    <definedName name="SG_12_17" localSheetId="1">#REF!</definedName>
    <definedName name="SG_12_17">#REF!</definedName>
    <definedName name="SG_12_18" localSheetId="1">#REF!</definedName>
    <definedName name="SG_12_18">#REF!</definedName>
    <definedName name="SG_12_19" localSheetId="1">#REF!</definedName>
    <definedName name="SG_12_19">#REF!</definedName>
    <definedName name="SG_12_20" localSheetId="1">#REF!</definedName>
    <definedName name="SG_12_20">#REF!</definedName>
    <definedName name="SG_12_21" localSheetId="1">#REF!</definedName>
    <definedName name="SG_12_21">#REF!</definedName>
    <definedName name="SG_12_22" localSheetId="1">#REF!</definedName>
    <definedName name="SG_12_22">#REF!</definedName>
    <definedName name="SG_12_23" localSheetId="1">#REF!</definedName>
    <definedName name="SG_12_23">#REF!</definedName>
    <definedName name="SG_12_24" localSheetId="1">#REF!</definedName>
    <definedName name="SG_12_24">#REF!</definedName>
    <definedName name="SG_12_25" localSheetId="1">#REF!</definedName>
    <definedName name="SG_12_25">#REF!</definedName>
    <definedName name="SG_13_01" localSheetId="1">#REF!</definedName>
    <definedName name="SG_13_01">#REF!</definedName>
    <definedName name="SG_13_02" localSheetId="1">#REF!</definedName>
    <definedName name="SG_13_02">#REF!</definedName>
    <definedName name="SG_13_03" localSheetId="1">#REF!</definedName>
    <definedName name="SG_13_03">#REF!</definedName>
    <definedName name="SG_13_04" localSheetId="1">#REF!</definedName>
    <definedName name="SG_13_04">#REF!</definedName>
    <definedName name="SG_13_05" localSheetId="1">#REF!</definedName>
    <definedName name="SG_13_05">#REF!</definedName>
    <definedName name="SG_13_06" localSheetId="1">#REF!</definedName>
    <definedName name="SG_13_06">#REF!</definedName>
    <definedName name="SG_13_07" localSheetId="1">#REF!</definedName>
    <definedName name="SG_13_07">#REF!</definedName>
    <definedName name="SG_13_08" localSheetId="1">#REF!</definedName>
    <definedName name="SG_13_08">#REF!</definedName>
    <definedName name="SG_13_09" localSheetId="1">#REF!</definedName>
    <definedName name="SG_13_09">#REF!</definedName>
    <definedName name="SG_13_10" localSheetId="1">#REF!</definedName>
    <definedName name="SG_13_10">#REF!</definedName>
    <definedName name="SG_13_11" localSheetId="1">#REF!</definedName>
    <definedName name="SG_13_11">#REF!</definedName>
    <definedName name="SG_13_12" localSheetId="1">#REF!</definedName>
    <definedName name="SG_13_12">#REF!</definedName>
    <definedName name="SG_13_13" localSheetId="1">#REF!</definedName>
    <definedName name="SG_13_13">#REF!</definedName>
    <definedName name="SG_13_14" localSheetId="1">#REF!</definedName>
    <definedName name="SG_13_14">#REF!</definedName>
    <definedName name="SG_13_15" localSheetId="1">#REF!</definedName>
    <definedName name="SG_13_15">#REF!</definedName>
    <definedName name="SG_13_16" localSheetId="1">#REF!</definedName>
    <definedName name="SG_13_16">#REF!</definedName>
    <definedName name="SG_13_17" localSheetId="1">#REF!</definedName>
    <definedName name="SG_13_17">#REF!</definedName>
    <definedName name="SG_13_18" localSheetId="1">#REF!</definedName>
    <definedName name="SG_13_18">#REF!</definedName>
    <definedName name="SG_13_19" localSheetId="1">#REF!</definedName>
    <definedName name="SG_13_19">#REF!</definedName>
    <definedName name="SG_13_20" localSheetId="1">#REF!</definedName>
    <definedName name="SG_13_20">#REF!</definedName>
    <definedName name="SG_13_21" localSheetId="1">#REF!</definedName>
    <definedName name="SG_13_21">#REF!</definedName>
    <definedName name="SG_13_22" localSheetId="1">#REF!</definedName>
    <definedName name="SG_13_22">#REF!</definedName>
    <definedName name="SG_13_23" localSheetId="1">#REF!</definedName>
    <definedName name="SG_13_23">#REF!</definedName>
    <definedName name="SG_13_24" localSheetId="1">#REF!</definedName>
    <definedName name="SG_13_24">#REF!</definedName>
    <definedName name="SG_13_25" localSheetId="1">#REF!</definedName>
    <definedName name="SG_13_25">#REF!</definedName>
    <definedName name="SG_14_01" localSheetId="1">#REF!</definedName>
    <definedName name="SG_14_01">#REF!</definedName>
    <definedName name="SG_14_02" localSheetId="1">#REF!</definedName>
    <definedName name="SG_14_02">#REF!</definedName>
    <definedName name="SG_14_03" localSheetId="1">#REF!</definedName>
    <definedName name="SG_14_03">#REF!</definedName>
    <definedName name="SG_14_04" localSheetId="1">#REF!</definedName>
    <definedName name="SG_14_04">#REF!</definedName>
    <definedName name="SG_14_05" localSheetId="1">#REF!</definedName>
    <definedName name="SG_14_05">#REF!</definedName>
    <definedName name="SG_14_06" localSheetId="1">#REF!</definedName>
    <definedName name="SG_14_06">#REF!</definedName>
    <definedName name="SG_14_07" localSheetId="1">#REF!</definedName>
    <definedName name="SG_14_07">#REF!</definedName>
    <definedName name="SG_14_08" localSheetId="1">#REF!</definedName>
    <definedName name="SG_14_08">#REF!</definedName>
    <definedName name="SG_14_09" localSheetId="1">#REF!</definedName>
    <definedName name="SG_14_09">#REF!</definedName>
    <definedName name="SG_14_10" localSheetId="1">#REF!</definedName>
    <definedName name="SG_14_10">#REF!</definedName>
    <definedName name="SG_14_11" localSheetId="1">#REF!</definedName>
    <definedName name="SG_14_11">#REF!</definedName>
    <definedName name="SG_14_12" localSheetId="1">#REF!</definedName>
    <definedName name="SG_14_12">#REF!</definedName>
    <definedName name="SG_14_13" localSheetId="1">#REF!</definedName>
    <definedName name="SG_14_13">#REF!</definedName>
    <definedName name="SG_14_14" localSheetId="1">#REF!</definedName>
    <definedName name="SG_14_14">#REF!</definedName>
    <definedName name="SG_14_15" localSheetId="1">#REF!</definedName>
    <definedName name="SG_14_15">#REF!</definedName>
    <definedName name="SG_14_16" localSheetId="1">#REF!</definedName>
    <definedName name="SG_14_16">#REF!</definedName>
    <definedName name="SG_14_17" localSheetId="1">#REF!</definedName>
    <definedName name="SG_14_17">#REF!</definedName>
    <definedName name="SG_14_18" localSheetId="1">#REF!</definedName>
    <definedName name="SG_14_18">#REF!</definedName>
    <definedName name="SG_14_19" localSheetId="1">#REF!</definedName>
    <definedName name="SG_14_19">#REF!</definedName>
    <definedName name="SG_14_20" localSheetId="1">#REF!</definedName>
    <definedName name="SG_14_20">#REF!</definedName>
    <definedName name="SG_14_21" localSheetId="1">#REF!</definedName>
    <definedName name="SG_14_21">#REF!</definedName>
    <definedName name="SG_14_22" localSheetId="1">#REF!</definedName>
    <definedName name="SG_14_22">#REF!</definedName>
    <definedName name="SG_14_23" localSheetId="1">#REF!</definedName>
    <definedName name="SG_14_23">#REF!</definedName>
    <definedName name="SG_14_24" localSheetId="1">#REF!</definedName>
    <definedName name="SG_14_24">#REF!</definedName>
    <definedName name="SG_14_25" localSheetId="1">#REF!</definedName>
    <definedName name="SG_14_25">#REF!</definedName>
    <definedName name="SG_15_01" localSheetId="1">#REF!</definedName>
    <definedName name="SG_15_01">#REF!</definedName>
    <definedName name="SG_15_02" localSheetId="1">#REF!</definedName>
    <definedName name="SG_15_02">#REF!</definedName>
    <definedName name="SG_15_03" localSheetId="1">#REF!</definedName>
    <definedName name="SG_15_03">#REF!</definedName>
    <definedName name="SG_15_04" localSheetId="1">#REF!</definedName>
    <definedName name="SG_15_04">#REF!</definedName>
    <definedName name="SG_15_05" localSheetId="1">#REF!</definedName>
    <definedName name="SG_15_05">#REF!</definedName>
    <definedName name="SG_15_06" localSheetId="1">#REF!</definedName>
    <definedName name="SG_15_06">#REF!</definedName>
    <definedName name="SG_15_07" localSheetId="1">#REF!</definedName>
    <definedName name="SG_15_07">#REF!</definedName>
    <definedName name="SG_15_08" localSheetId="1">#REF!</definedName>
    <definedName name="SG_15_08">#REF!</definedName>
    <definedName name="SG_15_09" localSheetId="1">#REF!</definedName>
    <definedName name="SG_15_09">#REF!</definedName>
    <definedName name="SG_15_10" localSheetId="1">#REF!</definedName>
    <definedName name="SG_15_10">#REF!</definedName>
    <definedName name="SG_15_11" localSheetId="1">#REF!</definedName>
    <definedName name="SG_15_11">#REF!</definedName>
    <definedName name="SG_15_12" localSheetId="1">#REF!</definedName>
    <definedName name="SG_15_12">#REF!</definedName>
    <definedName name="SG_15_13" localSheetId="1">#REF!</definedName>
    <definedName name="SG_15_13">#REF!</definedName>
    <definedName name="SG_15_14" localSheetId="1">#REF!</definedName>
    <definedName name="SG_15_14">#REF!</definedName>
    <definedName name="SG_15_15" localSheetId="1">#REF!</definedName>
    <definedName name="SG_15_15">#REF!</definedName>
    <definedName name="SG_15_16" localSheetId="1">#REF!</definedName>
    <definedName name="SG_15_16">#REF!</definedName>
    <definedName name="SG_15_17" localSheetId="1">#REF!</definedName>
    <definedName name="SG_15_17">#REF!</definedName>
    <definedName name="SG_15_18" localSheetId="1">#REF!</definedName>
    <definedName name="SG_15_18">#REF!</definedName>
    <definedName name="SG_15_19" localSheetId="1">#REF!</definedName>
    <definedName name="SG_15_19">#REF!</definedName>
    <definedName name="SG_15_20" localSheetId="1">#REF!</definedName>
    <definedName name="SG_15_20">#REF!</definedName>
    <definedName name="SG_15_21" localSheetId="1">#REF!</definedName>
    <definedName name="SG_15_21">#REF!</definedName>
    <definedName name="SG_15_22" localSheetId="1">#REF!</definedName>
    <definedName name="SG_15_22">#REF!</definedName>
    <definedName name="SG_15_23" localSheetId="1">#REF!</definedName>
    <definedName name="SG_15_23">#REF!</definedName>
    <definedName name="SG_15_24" localSheetId="1">#REF!</definedName>
    <definedName name="SG_15_24">#REF!</definedName>
    <definedName name="SG_15_25" localSheetId="1">#REF!</definedName>
    <definedName name="SG_15_25">#REF!</definedName>
    <definedName name="SG_16_01" localSheetId="1">#REF!</definedName>
    <definedName name="SG_16_01">#REF!</definedName>
    <definedName name="SG_16_02" localSheetId="1">#REF!</definedName>
    <definedName name="SG_16_02">#REF!</definedName>
    <definedName name="SG_16_03" localSheetId="1">#REF!</definedName>
    <definedName name="SG_16_03">#REF!</definedName>
    <definedName name="SG_16_04" localSheetId="1">#REF!</definedName>
    <definedName name="SG_16_04">#REF!</definedName>
    <definedName name="SG_16_05" localSheetId="1">#REF!</definedName>
    <definedName name="SG_16_05">#REF!</definedName>
    <definedName name="SG_16_06" localSheetId="1">#REF!</definedName>
    <definedName name="SG_16_06">#REF!</definedName>
    <definedName name="SG_16_07" localSheetId="1">#REF!</definedName>
    <definedName name="SG_16_07">#REF!</definedName>
    <definedName name="SG_16_08" localSheetId="1">#REF!</definedName>
    <definedName name="SG_16_08">#REF!</definedName>
    <definedName name="SG_16_09" localSheetId="1">#REF!</definedName>
    <definedName name="SG_16_09">#REF!</definedName>
    <definedName name="SG_16_10" localSheetId="1">#REF!</definedName>
    <definedName name="SG_16_10">#REF!</definedName>
    <definedName name="SG_16_11" localSheetId="1">#REF!</definedName>
    <definedName name="SG_16_11">#REF!</definedName>
    <definedName name="SG_16_12" localSheetId="1">#REF!</definedName>
    <definedName name="SG_16_12">#REF!</definedName>
    <definedName name="SG_16_13" localSheetId="1">#REF!</definedName>
    <definedName name="SG_16_13">#REF!</definedName>
    <definedName name="SG_16_14" localSheetId="1">#REF!</definedName>
    <definedName name="SG_16_14">#REF!</definedName>
    <definedName name="SG_16_15" localSheetId="1">#REF!</definedName>
    <definedName name="SG_16_15">#REF!</definedName>
    <definedName name="SG_16_16" localSheetId="1">#REF!</definedName>
    <definedName name="SG_16_16">#REF!</definedName>
    <definedName name="SG_16_17" localSheetId="1">#REF!</definedName>
    <definedName name="SG_16_17">#REF!</definedName>
    <definedName name="SG_16_18" localSheetId="1">#REF!</definedName>
    <definedName name="SG_16_18">#REF!</definedName>
    <definedName name="SG_16_19" localSheetId="1">#REF!</definedName>
    <definedName name="SG_16_19">#REF!</definedName>
    <definedName name="SG_16_20" localSheetId="1">#REF!</definedName>
    <definedName name="SG_16_20">#REF!</definedName>
    <definedName name="SG_16_21" localSheetId="1">#REF!</definedName>
    <definedName name="SG_16_21">#REF!</definedName>
    <definedName name="SG_16_22" localSheetId="1">#REF!</definedName>
    <definedName name="SG_16_22">#REF!</definedName>
    <definedName name="SG_16_23" localSheetId="1">#REF!</definedName>
    <definedName name="SG_16_23">#REF!</definedName>
    <definedName name="SG_16_24" localSheetId="1">#REF!</definedName>
    <definedName name="SG_16_24">#REF!</definedName>
    <definedName name="SG_16_25" localSheetId="1">#REF!</definedName>
    <definedName name="SG_16_25">#REF!</definedName>
    <definedName name="SG_17_01" localSheetId="1">#REF!</definedName>
    <definedName name="SG_17_01">#REF!</definedName>
    <definedName name="SG_17_02" localSheetId="1">#REF!</definedName>
    <definedName name="SG_17_02">#REF!</definedName>
    <definedName name="SG_17_03" localSheetId="1">#REF!</definedName>
    <definedName name="SG_17_03">#REF!</definedName>
    <definedName name="SG_17_04" localSheetId="1">#REF!</definedName>
    <definedName name="SG_17_04">#REF!</definedName>
    <definedName name="SG_17_05" localSheetId="1">#REF!</definedName>
    <definedName name="SG_17_05">#REF!</definedName>
    <definedName name="SG_17_06" localSheetId="1">#REF!</definedName>
    <definedName name="SG_17_06">#REF!</definedName>
    <definedName name="SG_17_07" localSheetId="1">#REF!</definedName>
    <definedName name="SG_17_07">#REF!</definedName>
    <definedName name="SG_17_08" localSheetId="1">#REF!</definedName>
    <definedName name="SG_17_08">#REF!</definedName>
    <definedName name="SG_17_09" localSheetId="1">#REF!</definedName>
    <definedName name="SG_17_09">#REF!</definedName>
    <definedName name="SG_17_10" localSheetId="1">#REF!</definedName>
    <definedName name="SG_17_10">#REF!</definedName>
    <definedName name="SG_17_11" localSheetId="1">#REF!</definedName>
    <definedName name="SG_17_11">#REF!</definedName>
    <definedName name="SG_17_12" localSheetId="1">#REF!</definedName>
    <definedName name="SG_17_12">#REF!</definedName>
    <definedName name="SG_17_13" localSheetId="1">#REF!</definedName>
    <definedName name="SG_17_13">#REF!</definedName>
    <definedName name="SG_17_14" localSheetId="1">#REF!</definedName>
    <definedName name="SG_17_14">#REF!</definedName>
    <definedName name="SG_17_15" localSheetId="1">#REF!</definedName>
    <definedName name="SG_17_15">#REF!</definedName>
    <definedName name="SG_17_16" localSheetId="1">#REF!</definedName>
    <definedName name="SG_17_16">#REF!</definedName>
    <definedName name="SG_17_17" localSheetId="1">#REF!</definedName>
    <definedName name="SG_17_17">#REF!</definedName>
    <definedName name="SG_17_18" localSheetId="1">#REF!</definedName>
    <definedName name="SG_17_18">#REF!</definedName>
    <definedName name="SG_17_19" localSheetId="1">#REF!</definedName>
    <definedName name="SG_17_19">#REF!</definedName>
    <definedName name="SG_17_20" localSheetId="1">#REF!</definedName>
    <definedName name="SG_17_20">#REF!</definedName>
    <definedName name="SG_17_21" localSheetId="1">#REF!</definedName>
    <definedName name="SG_17_21">#REF!</definedName>
    <definedName name="SG_17_22" localSheetId="1">#REF!</definedName>
    <definedName name="SG_17_22">#REF!</definedName>
    <definedName name="SG_17_23" localSheetId="1">#REF!</definedName>
    <definedName name="SG_17_23">#REF!</definedName>
    <definedName name="SG_17_24" localSheetId="1">#REF!</definedName>
    <definedName name="SG_17_24">#REF!</definedName>
    <definedName name="SG_17_25" localSheetId="1">#REF!</definedName>
    <definedName name="SG_17_25">#REF!</definedName>
    <definedName name="SG_18_01" localSheetId="1">#REF!</definedName>
    <definedName name="SG_18_01">#REF!</definedName>
    <definedName name="SG_18_02" localSheetId="1">#REF!</definedName>
    <definedName name="SG_18_02">#REF!</definedName>
    <definedName name="SG_18_03" localSheetId="1">#REF!</definedName>
    <definedName name="SG_18_03">#REF!</definedName>
    <definedName name="SG_18_04" localSheetId="1">#REF!</definedName>
    <definedName name="SG_18_04">#REF!</definedName>
    <definedName name="SG_18_05" localSheetId="1">#REF!</definedName>
    <definedName name="SG_18_05">#REF!</definedName>
    <definedName name="SG_18_06" localSheetId="1">#REF!</definedName>
    <definedName name="SG_18_06">#REF!</definedName>
    <definedName name="SG_18_07" localSheetId="1">#REF!</definedName>
    <definedName name="SG_18_07">#REF!</definedName>
    <definedName name="SG_18_08" localSheetId="1">#REF!</definedName>
    <definedName name="SG_18_08">#REF!</definedName>
    <definedName name="SG_18_09" localSheetId="1">#REF!</definedName>
    <definedName name="SG_18_09">#REF!</definedName>
    <definedName name="SG_18_10" localSheetId="1">#REF!</definedName>
    <definedName name="SG_18_10">#REF!</definedName>
    <definedName name="SG_18_11" localSheetId="1">#REF!</definedName>
    <definedName name="SG_18_11">#REF!</definedName>
    <definedName name="SG_18_12" localSheetId="1">#REF!</definedName>
    <definedName name="SG_18_12">#REF!</definedName>
    <definedName name="SG_18_13" localSheetId="1">#REF!</definedName>
    <definedName name="SG_18_13">#REF!</definedName>
    <definedName name="SG_18_14" localSheetId="1">#REF!</definedName>
    <definedName name="SG_18_14">#REF!</definedName>
    <definedName name="SG_18_15" localSheetId="1">#REF!</definedName>
    <definedName name="SG_18_15">#REF!</definedName>
    <definedName name="SG_18_16" localSheetId="1">#REF!</definedName>
    <definedName name="SG_18_16">#REF!</definedName>
    <definedName name="SG_18_17" localSheetId="1">#REF!</definedName>
    <definedName name="SG_18_17">#REF!</definedName>
    <definedName name="SG_18_18" localSheetId="1">#REF!</definedName>
    <definedName name="SG_18_18">#REF!</definedName>
    <definedName name="SG_18_19" localSheetId="1">#REF!</definedName>
    <definedName name="SG_18_19">#REF!</definedName>
    <definedName name="SG_18_20" localSheetId="1">#REF!</definedName>
    <definedName name="SG_18_20">#REF!</definedName>
    <definedName name="SG_18_21" localSheetId="1">#REF!</definedName>
    <definedName name="SG_18_21">#REF!</definedName>
    <definedName name="SG_18_22" localSheetId="1">#REF!</definedName>
    <definedName name="SG_18_22">#REF!</definedName>
    <definedName name="SG_18_23" localSheetId="1">#REF!</definedName>
    <definedName name="SG_18_23">#REF!</definedName>
    <definedName name="SG_18_24" localSheetId="1">#REF!</definedName>
    <definedName name="SG_18_24">#REF!</definedName>
    <definedName name="SG_18_25" localSheetId="1">#REF!</definedName>
    <definedName name="SG_18_25">#REF!</definedName>
    <definedName name="SG_19_01" localSheetId="1">#REF!</definedName>
    <definedName name="SG_19_01">#REF!</definedName>
    <definedName name="SG_19_02" localSheetId="1">#REF!</definedName>
    <definedName name="SG_19_02">#REF!</definedName>
    <definedName name="SG_19_03" localSheetId="1">#REF!</definedName>
    <definedName name="SG_19_03">#REF!</definedName>
    <definedName name="SG_19_04" localSheetId="1">#REF!</definedName>
    <definedName name="SG_19_04">#REF!</definedName>
    <definedName name="SG_19_05" localSheetId="1">#REF!</definedName>
    <definedName name="SG_19_05">#REF!</definedName>
    <definedName name="SG_19_06" localSheetId="1">#REF!</definedName>
    <definedName name="SG_19_06">#REF!</definedName>
    <definedName name="SG_19_07" localSheetId="1">#REF!</definedName>
    <definedName name="SG_19_07">#REF!</definedName>
    <definedName name="SG_19_08" localSheetId="1">#REF!</definedName>
    <definedName name="SG_19_08">#REF!</definedName>
    <definedName name="SG_19_09" localSheetId="1">#REF!</definedName>
    <definedName name="SG_19_09">#REF!</definedName>
    <definedName name="SG_19_10" localSheetId="1">#REF!</definedName>
    <definedName name="SG_19_10">#REF!</definedName>
    <definedName name="SG_19_11" localSheetId="1">#REF!</definedName>
    <definedName name="SG_19_11">#REF!</definedName>
    <definedName name="SG_19_12" localSheetId="1">#REF!</definedName>
    <definedName name="SG_19_12">#REF!</definedName>
    <definedName name="SG_19_13" localSheetId="1">#REF!</definedName>
    <definedName name="SG_19_13">#REF!</definedName>
    <definedName name="SG_19_14" localSheetId="1">#REF!</definedName>
    <definedName name="SG_19_14">#REF!</definedName>
    <definedName name="SG_19_15" localSheetId="1">#REF!</definedName>
    <definedName name="SG_19_15">#REF!</definedName>
    <definedName name="SG_19_16" localSheetId="1">#REF!</definedName>
    <definedName name="SG_19_16">#REF!</definedName>
    <definedName name="SG_19_17" localSheetId="1">#REF!</definedName>
    <definedName name="SG_19_17">#REF!</definedName>
    <definedName name="SG_19_18" localSheetId="1">#REF!</definedName>
    <definedName name="SG_19_18">#REF!</definedName>
    <definedName name="SG_19_19" localSheetId="1">#REF!</definedName>
    <definedName name="SG_19_19">#REF!</definedName>
    <definedName name="SG_19_20" localSheetId="1">#REF!</definedName>
    <definedName name="SG_19_20">#REF!</definedName>
    <definedName name="SG_19_21" localSheetId="1">#REF!</definedName>
    <definedName name="SG_19_21">#REF!</definedName>
    <definedName name="SG_19_22" localSheetId="1">#REF!</definedName>
    <definedName name="SG_19_22">#REF!</definedName>
    <definedName name="SG_19_23" localSheetId="1">#REF!</definedName>
    <definedName name="SG_19_23">#REF!</definedName>
    <definedName name="SG_19_24" localSheetId="1">#REF!</definedName>
    <definedName name="SG_19_24">#REF!</definedName>
    <definedName name="SG_19_25" localSheetId="1">#REF!</definedName>
    <definedName name="SG_19_25">#REF!</definedName>
    <definedName name="SG_20_01" localSheetId="1">#REF!</definedName>
    <definedName name="SG_20_01">#REF!</definedName>
    <definedName name="SG_20_02" localSheetId="1">#REF!</definedName>
    <definedName name="SG_20_02">#REF!</definedName>
    <definedName name="SG_20_03" localSheetId="1">#REF!</definedName>
    <definedName name="SG_20_03">#REF!</definedName>
    <definedName name="SG_20_04" localSheetId="1">#REF!</definedName>
    <definedName name="SG_20_04">#REF!</definedName>
    <definedName name="SG_20_05" localSheetId="1">#REF!</definedName>
    <definedName name="SG_20_05">#REF!</definedName>
    <definedName name="SG_20_06" localSheetId="1">#REF!</definedName>
    <definedName name="SG_20_06">#REF!</definedName>
    <definedName name="SG_20_07" localSheetId="1">#REF!</definedName>
    <definedName name="SG_20_07">#REF!</definedName>
    <definedName name="SG_20_08" localSheetId="1">#REF!</definedName>
    <definedName name="SG_20_08">#REF!</definedName>
    <definedName name="SG_20_09" localSheetId="1">#REF!</definedName>
    <definedName name="SG_20_09">#REF!</definedName>
    <definedName name="SG_20_10" localSheetId="1">#REF!</definedName>
    <definedName name="SG_20_10">#REF!</definedName>
    <definedName name="SG_20_11" localSheetId="1">#REF!</definedName>
    <definedName name="SG_20_11">#REF!</definedName>
    <definedName name="SG_20_12" localSheetId="1">#REF!</definedName>
    <definedName name="SG_20_12">#REF!</definedName>
    <definedName name="SG_20_13" localSheetId="1">#REF!</definedName>
    <definedName name="SG_20_13">#REF!</definedName>
    <definedName name="SG_20_14" localSheetId="1">#REF!</definedName>
    <definedName name="SG_20_14">#REF!</definedName>
    <definedName name="SG_20_15" localSheetId="1">#REF!</definedName>
    <definedName name="SG_20_15">#REF!</definedName>
    <definedName name="SG_20_16" localSheetId="1">#REF!</definedName>
    <definedName name="SG_20_16">#REF!</definedName>
    <definedName name="SG_20_17" localSheetId="1">#REF!</definedName>
    <definedName name="SG_20_17">#REF!</definedName>
    <definedName name="SG_20_18" localSheetId="1">#REF!</definedName>
    <definedName name="SG_20_18">#REF!</definedName>
    <definedName name="SG_20_19" localSheetId="1">#REF!</definedName>
    <definedName name="SG_20_19">#REF!</definedName>
    <definedName name="SG_20_20" localSheetId="1">#REF!</definedName>
    <definedName name="SG_20_20">#REF!</definedName>
    <definedName name="SG_20_21" localSheetId="1">#REF!</definedName>
    <definedName name="SG_20_21">#REF!</definedName>
    <definedName name="SG_20_22" localSheetId="1">#REF!</definedName>
    <definedName name="SG_20_22">#REF!</definedName>
    <definedName name="SG_20_23" localSheetId="1">#REF!</definedName>
    <definedName name="SG_20_23">#REF!</definedName>
    <definedName name="SG_20_24" localSheetId="1">#REF!</definedName>
    <definedName name="SG_20_24">#REF!</definedName>
    <definedName name="SG_20_25" localSheetId="1">#REF!</definedName>
    <definedName name="SG_20_25">#REF!</definedName>
    <definedName name="SG_21_01" localSheetId="1">#REF!</definedName>
    <definedName name="SG_21_01">#REF!</definedName>
    <definedName name="SG_21_02" localSheetId="1">#REF!</definedName>
    <definedName name="SG_21_02">#REF!</definedName>
    <definedName name="SG_21_03" localSheetId="1">#REF!</definedName>
    <definedName name="SG_21_03">#REF!</definedName>
    <definedName name="SG_21_04" localSheetId="1">#REF!</definedName>
    <definedName name="SG_21_04">#REF!</definedName>
    <definedName name="SG_21_05" localSheetId="1">#REF!</definedName>
    <definedName name="SG_21_05">#REF!</definedName>
    <definedName name="SG_21_06" localSheetId="1">#REF!</definedName>
    <definedName name="SG_21_06">#REF!</definedName>
    <definedName name="SG_21_07" localSheetId="1">#REF!</definedName>
    <definedName name="SG_21_07">#REF!</definedName>
    <definedName name="SG_21_08" localSheetId="1">#REF!</definedName>
    <definedName name="SG_21_08">#REF!</definedName>
    <definedName name="SG_21_09" localSheetId="1">#REF!</definedName>
    <definedName name="SG_21_09">#REF!</definedName>
    <definedName name="SG_21_10" localSheetId="1">#REF!</definedName>
    <definedName name="SG_21_10">#REF!</definedName>
    <definedName name="SG_21_11" localSheetId="1">#REF!</definedName>
    <definedName name="SG_21_11">#REF!</definedName>
    <definedName name="SG_21_12" localSheetId="1">#REF!</definedName>
    <definedName name="SG_21_12">#REF!</definedName>
    <definedName name="SG_21_13" localSheetId="1">#REF!</definedName>
    <definedName name="SG_21_13">#REF!</definedName>
    <definedName name="SG_21_14" localSheetId="1">#REF!</definedName>
    <definedName name="SG_21_14">#REF!</definedName>
    <definedName name="SG_21_15" localSheetId="1">#REF!</definedName>
    <definedName name="SG_21_15">#REF!</definedName>
    <definedName name="SG_21_16" localSheetId="1">#REF!</definedName>
    <definedName name="SG_21_16">#REF!</definedName>
    <definedName name="SG_21_17" localSheetId="1">#REF!</definedName>
    <definedName name="SG_21_17">#REF!</definedName>
    <definedName name="SG_21_18" localSheetId="1">#REF!</definedName>
    <definedName name="SG_21_18">#REF!</definedName>
    <definedName name="SG_21_19" localSheetId="1">#REF!</definedName>
    <definedName name="SG_21_19">#REF!</definedName>
    <definedName name="SG_21_20" localSheetId="1">#REF!</definedName>
    <definedName name="SG_21_20">#REF!</definedName>
    <definedName name="SG_21_21" localSheetId="1">#REF!</definedName>
    <definedName name="SG_21_21">#REF!</definedName>
    <definedName name="SG_21_22" localSheetId="1">#REF!</definedName>
    <definedName name="SG_21_22">#REF!</definedName>
    <definedName name="SG_21_23" localSheetId="1">#REF!</definedName>
    <definedName name="SG_21_23">#REF!</definedName>
    <definedName name="SG_21_24" localSheetId="1">#REF!</definedName>
    <definedName name="SG_21_24">#REF!</definedName>
    <definedName name="SG_21_25" localSheetId="1">#REF!</definedName>
    <definedName name="SG_21_25">#REF!</definedName>
    <definedName name="SG_22_01" localSheetId="1">#REF!</definedName>
    <definedName name="SG_22_01">#REF!</definedName>
    <definedName name="SG_22_02" localSheetId="1">#REF!</definedName>
    <definedName name="SG_22_02">#REF!</definedName>
    <definedName name="SG_22_03" localSheetId="1">#REF!</definedName>
    <definedName name="SG_22_03">#REF!</definedName>
    <definedName name="SG_22_04" localSheetId="1">#REF!</definedName>
    <definedName name="SG_22_04">#REF!</definedName>
    <definedName name="SG_22_05" localSheetId="1">#REF!</definedName>
    <definedName name="SG_22_05">#REF!</definedName>
    <definedName name="SG_22_06" localSheetId="1">#REF!</definedName>
    <definedName name="SG_22_06">#REF!</definedName>
    <definedName name="SG_22_07" localSheetId="1">#REF!</definedName>
    <definedName name="SG_22_07">#REF!</definedName>
    <definedName name="SG_22_08" localSheetId="1">#REF!</definedName>
    <definedName name="SG_22_08">#REF!</definedName>
    <definedName name="SG_22_09" localSheetId="1">#REF!</definedName>
    <definedName name="SG_22_09">#REF!</definedName>
    <definedName name="SG_22_10" localSheetId="1">#REF!</definedName>
    <definedName name="SG_22_10">#REF!</definedName>
    <definedName name="SG_22_11" localSheetId="1">#REF!</definedName>
    <definedName name="SG_22_11">#REF!</definedName>
    <definedName name="SG_22_12" localSheetId="1">#REF!</definedName>
    <definedName name="SG_22_12">#REF!</definedName>
    <definedName name="SG_22_13" localSheetId="1">#REF!</definedName>
    <definedName name="SG_22_13">#REF!</definedName>
    <definedName name="SG_22_14" localSheetId="1">#REF!</definedName>
    <definedName name="SG_22_14">#REF!</definedName>
    <definedName name="SG_22_15" localSheetId="1">#REF!</definedName>
    <definedName name="SG_22_15">#REF!</definedName>
    <definedName name="SG_22_16" localSheetId="1">#REF!</definedName>
    <definedName name="SG_22_16">#REF!</definedName>
    <definedName name="SG_22_17" localSheetId="1">#REF!</definedName>
    <definedName name="SG_22_17">#REF!</definedName>
    <definedName name="SG_22_18" localSheetId="1">#REF!</definedName>
    <definedName name="SG_22_18">#REF!</definedName>
    <definedName name="SG_22_19" localSheetId="1">#REF!</definedName>
    <definedName name="SG_22_19">#REF!</definedName>
    <definedName name="SG_22_20" localSheetId="1">#REF!</definedName>
    <definedName name="SG_22_20">#REF!</definedName>
    <definedName name="SG_22_21" localSheetId="1">#REF!</definedName>
    <definedName name="SG_22_21">#REF!</definedName>
    <definedName name="SG_22_22" localSheetId="1">#REF!</definedName>
    <definedName name="SG_22_22">#REF!</definedName>
    <definedName name="SG_22_23" localSheetId="1">#REF!</definedName>
    <definedName name="SG_22_23">#REF!</definedName>
    <definedName name="SG_22_24" localSheetId="1">#REF!</definedName>
    <definedName name="SG_22_24">#REF!</definedName>
    <definedName name="SG_22_25" localSheetId="1">#REF!</definedName>
    <definedName name="SG_22_25">#REF!</definedName>
    <definedName name="SG_23_01" localSheetId="1">#REF!</definedName>
    <definedName name="SG_23_01">#REF!</definedName>
    <definedName name="SG_23_02" localSheetId="1">#REF!</definedName>
    <definedName name="SG_23_02">#REF!</definedName>
    <definedName name="SG_23_03" localSheetId="1">#REF!</definedName>
    <definedName name="SG_23_03">#REF!</definedName>
    <definedName name="SG_23_04" localSheetId="1">#REF!</definedName>
    <definedName name="SG_23_04">#REF!</definedName>
    <definedName name="SG_23_05" localSheetId="1">#REF!</definedName>
    <definedName name="SG_23_05">#REF!</definedName>
    <definedName name="SG_23_06" localSheetId="1">#REF!</definedName>
    <definedName name="SG_23_06">#REF!</definedName>
    <definedName name="SG_23_07" localSheetId="1">#REF!</definedName>
    <definedName name="SG_23_07">#REF!</definedName>
    <definedName name="SG_23_08" localSheetId="1">#REF!</definedName>
    <definedName name="SG_23_08">#REF!</definedName>
    <definedName name="SG_23_09" localSheetId="1">#REF!</definedName>
    <definedName name="SG_23_09">#REF!</definedName>
    <definedName name="SG_23_10" localSheetId="1">#REF!</definedName>
    <definedName name="SG_23_10">#REF!</definedName>
    <definedName name="SG_23_11" localSheetId="1">#REF!</definedName>
    <definedName name="SG_23_11">#REF!</definedName>
    <definedName name="SG_23_12" localSheetId="1">#REF!</definedName>
    <definedName name="SG_23_12">#REF!</definedName>
    <definedName name="SG_23_13" localSheetId="1">#REF!</definedName>
    <definedName name="SG_23_13">#REF!</definedName>
    <definedName name="SG_23_14" localSheetId="1">#REF!</definedName>
    <definedName name="SG_23_14">#REF!</definedName>
    <definedName name="SG_23_15" localSheetId="1">#REF!</definedName>
    <definedName name="SG_23_15">#REF!</definedName>
    <definedName name="SG_23_16" localSheetId="1">#REF!</definedName>
    <definedName name="SG_23_16">#REF!</definedName>
    <definedName name="SG_23_17" localSheetId="1">#REF!</definedName>
    <definedName name="SG_23_17">#REF!</definedName>
    <definedName name="SG_23_18" localSheetId="1">#REF!</definedName>
    <definedName name="SG_23_18">#REF!</definedName>
    <definedName name="SG_23_19" localSheetId="1">#REF!</definedName>
    <definedName name="SG_23_19">#REF!</definedName>
    <definedName name="SG_23_20" localSheetId="1">#REF!</definedName>
    <definedName name="SG_23_20">#REF!</definedName>
    <definedName name="SG_23_21" localSheetId="1">#REF!</definedName>
    <definedName name="SG_23_21">#REF!</definedName>
    <definedName name="SG_23_22" localSheetId="1">#REF!</definedName>
    <definedName name="SG_23_22">#REF!</definedName>
    <definedName name="SG_23_23" localSheetId="1">#REF!</definedName>
    <definedName name="SG_23_23">#REF!</definedName>
    <definedName name="SG_23_24" localSheetId="1">#REF!</definedName>
    <definedName name="SG_23_24">#REF!</definedName>
    <definedName name="SG_23_25" localSheetId="1">#REF!</definedName>
    <definedName name="SG_23_25">#REF!</definedName>
    <definedName name="SG_24_01" localSheetId="1">#REF!</definedName>
    <definedName name="SG_24_01">#REF!</definedName>
    <definedName name="SG_24_02" localSheetId="1">#REF!</definedName>
    <definedName name="SG_24_02">#REF!</definedName>
    <definedName name="SG_24_03" localSheetId="1">#REF!</definedName>
    <definedName name="SG_24_03">#REF!</definedName>
    <definedName name="SG_24_04" localSheetId="1">#REF!</definedName>
    <definedName name="SG_24_04">#REF!</definedName>
    <definedName name="SG_24_05" localSheetId="1">#REF!</definedName>
    <definedName name="SG_24_05">#REF!</definedName>
    <definedName name="SG_24_06" localSheetId="1">#REF!</definedName>
    <definedName name="SG_24_06">#REF!</definedName>
    <definedName name="SG_24_07" localSheetId="1">#REF!</definedName>
    <definedName name="SG_24_07">#REF!</definedName>
    <definedName name="SG_24_08" localSheetId="1">#REF!</definedName>
    <definedName name="SG_24_08">#REF!</definedName>
    <definedName name="SG_24_09" localSheetId="1">#REF!</definedName>
    <definedName name="SG_24_09">#REF!</definedName>
    <definedName name="SG_24_10" localSheetId="1">#REF!</definedName>
    <definedName name="SG_24_10">#REF!</definedName>
    <definedName name="SG_24_11" localSheetId="1">#REF!</definedName>
    <definedName name="SG_24_11">#REF!</definedName>
    <definedName name="SG_24_12" localSheetId="1">#REF!</definedName>
    <definedName name="SG_24_12">#REF!</definedName>
    <definedName name="SG_24_13" localSheetId="1">#REF!</definedName>
    <definedName name="SG_24_13">#REF!</definedName>
    <definedName name="SG_24_14" localSheetId="1">#REF!</definedName>
    <definedName name="SG_24_14">#REF!</definedName>
    <definedName name="SG_24_15" localSheetId="1">#REF!</definedName>
    <definedName name="SG_24_15">#REF!</definedName>
    <definedName name="SG_24_16" localSheetId="1">#REF!</definedName>
    <definedName name="SG_24_16">#REF!</definedName>
    <definedName name="SG_24_17" localSheetId="1">#REF!</definedName>
    <definedName name="SG_24_17">#REF!</definedName>
    <definedName name="SG_24_18" localSheetId="1">#REF!</definedName>
    <definedName name="SG_24_18">#REF!</definedName>
    <definedName name="SG_24_19" localSheetId="1">#REF!</definedName>
    <definedName name="SG_24_19">#REF!</definedName>
    <definedName name="SG_24_20" localSheetId="1">#REF!</definedName>
    <definedName name="SG_24_20">#REF!</definedName>
    <definedName name="SG_24_21" localSheetId="1">#REF!</definedName>
    <definedName name="SG_24_21">#REF!</definedName>
    <definedName name="SG_24_22" localSheetId="1">#REF!</definedName>
    <definedName name="SG_24_22">#REF!</definedName>
    <definedName name="SG_24_23" localSheetId="1">#REF!</definedName>
    <definedName name="SG_24_23">#REF!</definedName>
    <definedName name="SG_24_24" localSheetId="1">#REF!</definedName>
    <definedName name="SG_24_24">#REF!</definedName>
    <definedName name="SG_24_25" localSheetId="1">#REF!</definedName>
    <definedName name="SG_24_25">#REF!</definedName>
    <definedName name="SG_25_01" localSheetId="1">#REF!</definedName>
    <definedName name="SG_25_01">#REF!</definedName>
    <definedName name="SG_25_02" localSheetId="1">#REF!</definedName>
    <definedName name="SG_25_02">#REF!</definedName>
    <definedName name="SG_25_03" localSheetId="1">#REF!</definedName>
    <definedName name="SG_25_03">#REF!</definedName>
    <definedName name="SG_25_04" localSheetId="1">#REF!</definedName>
    <definedName name="SG_25_04">#REF!</definedName>
    <definedName name="SG_25_05" localSheetId="1">#REF!</definedName>
    <definedName name="SG_25_05">#REF!</definedName>
    <definedName name="SG_25_06" localSheetId="1">#REF!</definedName>
    <definedName name="SG_25_06">#REF!</definedName>
    <definedName name="SG_25_07" localSheetId="1">#REF!</definedName>
    <definedName name="SG_25_07">#REF!</definedName>
    <definedName name="SG_25_08" localSheetId="1">#REF!</definedName>
    <definedName name="SG_25_08">#REF!</definedName>
    <definedName name="SG_25_09" localSheetId="1">#REF!</definedName>
    <definedName name="SG_25_09">#REF!</definedName>
    <definedName name="SG_25_10" localSheetId="1">#REF!</definedName>
    <definedName name="SG_25_10">#REF!</definedName>
    <definedName name="SG_25_11" localSheetId="1">#REF!</definedName>
    <definedName name="SG_25_11">#REF!</definedName>
    <definedName name="SG_25_12" localSheetId="1">#REF!</definedName>
    <definedName name="SG_25_12">#REF!</definedName>
    <definedName name="SG_25_13" localSheetId="1">#REF!</definedName>
    <definedName name="SG_25_13">#REF!</definedName>
    <definedName name="SG_25_14" localSheetId="1">#REF!</definedName>
    <definedName name="SG_25_14">#REF!</definedName>
    <definedName name="SG_25_15" localSheetId="1">#REF!</definedName>
    <definedName name="SG_25_15">#REF!</definedName>
    <definedName name="SG_25_16" localSheetId="1">#REF!</definedName>
    <definedName name="SG_25_16">#REF!</definedName>
    <definedName name="SG_25_17" localSheetId="1">#REF!</definedName>
    <definedName name="SG_25_17">#REF!</definedName>
    <definedName name="SG_25_18" localSheetId="1">#REF!</definedName>
    <definedName name="SG_25_18">#REF!</definedName>
    <definedName name="SG_25_19" localSheetId="1">#REF!</definedName>
    <definedName name="SG_25_19">#REF!</definedName>
    <definedName name="SG_25_20" localSheetId="1">#REF!</definedName>
    <definedName name="SG_25_20">#REF!</definedName>
    <definedName name="SG_25_21" localSheetId="1">#REF!</definedName>
    <definedName name="SG_25_21">#REF!</definedName>
    <definedName name="SG_25_22" localSheetId="1">#REF!</definedName>
    <definedName name="SG_25_22">#REF!</definedName>
    <definedName name="SG_25_23" localSheetId="1">#REF!</definedName>
    <definedName name="SG_25_23">#REF!</definedName>
    <definedName name="SG_25_24" localSheetId="1">#REF!</definedName>
    <definedName name="SG_25_24">#REF!</definedName>
    <definedName name="SG_25_25" localSheetId="1">#REF!</definedName>
    <definedName name="SG_25_25">#REF!</definedName>
    <definedName name="SHARED_FORMULA_0">#REF!</definedName>
    <definedName name="SHARED_FORMULA_1">#REF!</definedName>
    <definedName name="SHARED_FORMULA_10">#REF!</definedName>
    <definedName name="SHARED_FORMULA_11">#REF!</definedName>
    <definedName name="SHARED_FORMULA_12">#REF!</definedName>
    <definedName name="SHARED_FORMULA_13">#REF!</definedName>
    <definedName name="SHARED_FORMULA_14">#REF!</definedName>
    <definedName name="SHARED_FORMULA_15">#REF!</definedName>
    <definedName name="SHARED_FORMULA_16">#REF!</definedName>
    <definedName name="SHARED_FORMULA_17">#REF!</definedName>
    <definedName name="SHARED_FORMULA_18">#REF!</definedName>
    <definedName name="SHARED_FORMULA_19">#REF!</definedName>
    <definedName name="SHARED_FORMULA_2">#REF!</definedName>
    <definedName name="SHARED_FORMULA_20">#REF!</definedName>
    <definedName name="SHARED_FORMULA_21">#REF!</definedName>
    <definedName name="SHARED_FORMULA_22">#REF!</definedName>
    <definedName name="SHARED_FORMULA_23">#REF!</definedName>
    <definedName name="SHARED_FORMULA_24">#REF!</definedName>
    <definedName name="SHARED_FORMULA_25">#REF!</definedName>
    <definedName name="SHARED_FORMULA_26">#REF!</definedName>
    <definedName name="SHARED_FORMULA_27">#REF!</definedName>
    <definedName name="SHARED_FORMULA_28">#REF!</definedName>
    <definedName name="SHARED_FORMULA_29">#REF!</definedName>
    <definedName name="SHARED_FORMULA_3">#REF!</definedName>
    <definedName name="SHARED_FORMULA_30">#REF!</definedName>
    <definedName name="SHARED_FORMULA_31">#REF!</definedName>
    <definedName name="SHARED_FORMULA_32">#REF!</definedName>
    <definedName name="SHARED_FORMULA_33">#REF!</definedName>
    <definedName name="SHARED_FORMULA_34">#REF!</definedName>
    <definedName name="SHARED_FORMULA_35">#REF!</definedName>
    <definedName name="SHARED_FORMULA_36">#REF!</definedName>
    <definedName name="SHARED_FORMULA_37">#REF!</definedName>
    <definedName name="SHARED_FORMULA_38">#REF!</definedName>
    <definedName name="SHARED_FORMULA_39">#REF!</definedName>
    <definedName name="SHARED_FORMULA_4">#REF!</definedName>
    <definedName name="SHARED_FORMULA_40">#REF!</definedName>
    <definedName name="SHARED_FORMULA_41">#REF!</definedName>
    <definedName name="SHARED_FORMULA_42">#REF!</definedName>
    <definedName name="SHARED_FORMULA_43">#REF!</definedName>
    <definedName name="SHARED_FORMULA_44">#REF!</definedName>
    <definedName name="SHARED_FORMULA_45">#REF!</definedName>
    <definedName name="SHARED_FORMULA_46">#REF!</definedName>
    <definedName name="SHARED_FORMULA_47">#REF!</definedName>
    <definedName name="SHARED_FORMULA_48">#REF!</definedName>
    <definedName name="SHARED_FORMULA_49">#REF!</definedName>
    <definedName name="SHARED_FORMULA_5">#REF!</definedName>
    <definedName name="SHARED_FORMULA_50">#REF!</definedName>
    <definedName name="SHARED_FORMULA_51">#REF!</definedName>
    <definedName name="SHARED_FORMULA_6">#REF!</definedName>
    <definedName name="SHARED_FORMULA_7">#REF!</definedName>
    <definedName name="SHARED_FORMULA_8">#REF!</definedName>
    <definedName name="SHARED_FORMULA_9">#REF!</definedName>
    <definedName name="SIN" localSheetId="1" hidden="1">{#N/A,#N/A,FALSE,"Planilha";#N/A,#N/A,FALSE,"Resumo";#N/A,#N/A,FALSE,"Fisico";#N/A,#N/A,FALSE,"Financeiro";#N/A,#N/A,FALSE,"Financeiro"}</definedName>
    <definedName name="SIN">{#N/A,#N/A,FALSE,"Planilha";#N/A,#N/A,FALSE,"Resumo";#N/A,#N/A,FALSE,"Fisico";#N/A,#N/A,FALSE,"Financeiro";#N/A,#N/A,FALSE,"Financeiro"}</definedName>
    <definedName name="SINA" localSheetId="1" hidden="1">{#N/A,#N/A,FALSE,"Planilha";#N/A,#N/A,FALSE,"Resumo";#N/A,#N/A,FALSE,"Fisico";#N/A,#N/A,FALSE,"Financeiro";#N/A,#N/A,FALSE,"Financeiro"}</definedName>
    <definedName name="SINA">{#N/A,#N/A,FALSE,"Planilha";#N/A,#N/A,FALSE,"Resumo";#N/A,#N/A,FALSE,"Fisico";#N/A,#N/A,FALSE,"Financeiro";#N/A,#N/A,FALSE,"Financeiro"}</definedName>
    <definedName name="SINAL" localSheetId="1">#REF!</definedName>
    <definedName name="SINAL">#REF!</definedName>
    <definedName name="Sinapi" localSheetId="1">#REF!</definedName>
    <definedName name="Sinapi">#REF!</definedName>
    <definedName name="SINAPI_AC">#REF!</definedName>
    <definedName name="SJ">#REF!</definedName>
    <definedName name="SM">#REF!</definedName>
    <definedName name="SMW">#REF!</definedName>
    <definedName name="SMWA">#REF!</definedName>
    <definedName name="SOLUM" localSheetId="1">[1]reforma!#REF!</definedName>
    <definedName name="SOLUM">[1]reforma!#REF!</definedName>
    <definedName name="solver_cvg">0.001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3</definedName>
    <definedName name="solver_val">19.66</definedName>
    <definedName name="SOMA1" localSheetId="1">#REF!</definedName>
    <definedName name="SOMA1">#REF!</definedName>
    <definedName name="SOMA1_13">#REF!</definedName>
    <definedName name="SOMA1_14">#REF!</definedName>
    <definedName name="SOMA2">#REF!</definedName>
    <definedName name="SOMA2_13">#REF!</definedName>
    <definedName name="SOMA2_14">#REF!</definedName>
    <definedName name="SOMA3">#REF!</definedName>
    <definedName name="SOMA3_13">#REF!</definedName>
    <definedName name="SOMA3_14">#REF!</definedName>
    <definedName name="SOMA4">#REF!</definedName>
    <definedName name="SOMA4_13">#REF!</definedName>
    <definedName name="SOMA4_14">#REF!</definedName>
    <definedName name="SOMA5">#REF!</definedName>
    <definedName name="SOMA5_13">#REF!</definedName>
    <definedName name="SOMA5_14">#REF!</definedName>
    <definedName name="SomaMedAtual">#REF!</definedName>
    <definedName name="sort" localSheetId="1" hidden="1">#REF!</definedName>
    <definedName name="sort">#REF!</definedName>
    <definedName name="souza">#REF!</definedName>
    <definedName name="SRV" localSheetId="1">#REF!</definedName>
    <definedName name="SRV">#REF!</definedName>
    <definedName name="ss" localSheetId="1" hidden="1">{#N/A,#N/A,FALSE,"Cronograma";#N/A,#N/A,FALSE,"Cronogr. 2"}</definedName>
    <definedName name="ss">{#N/A,#N/A,FALSE,"Cronograma";#N/A,#N/A,FALSE,"Cronogr. 2"}</definedName>
    <definedName name="sssa" localSheetId="1">#REF!</definedName>
    <definedName name="sssa">#REF!</definedName>
    <definedName name="sssd">#REF!</definedName>
    <definedName name="ssss">#REF!</definedName>
    <definedName name="ssssa">#REF!</definedName>
    <definedName name="SSSSSSSSSSS">#REF!</definedName>
    <definedName name="sssssssssssssssssssss">#REF!</definedName>
    <definedName name="ST">#REF!</definedName>
    <definedName name="STR">#REF!</definedName>
    <definedName name="SUB" localSheetId="1">#REF!</definedName>
    <definedName name="SUB">#REF!</definedName>
    <definedName name="Sub__trecho">#REF!</definedName>
    <definedName name="SUB_TRECHO" localSheetId="1">#REF!</definedName>
    <definedName name="SUB_TRECHO">#REF!</definedName>
    <definedName name="Subestação">#REF!</definedName>
    <definedName name="SUBT" localSheetId="1">#REF!</definedName>
    <definedName name="SUBT">#REF!</definedName>
    <definedName name="SUBTO" localSheetId="1">#REF!</definedName>
    <definedName name="SUBTO">#REF!</definedName>
    <definedName name="SUBTOT">#REF!</definedName>
    <definedName name="Subtrecho">#REF!</definedName>
    <definedName name="SUMMERY">#REF!</definedName>
    <definedName name="SUMMERYY">#REF!</definedName>
    <definedName name="SUUU7" localSheetId="1">#REF!</definedName>
    <definedName name="SUUU7">#REF!</definedName>
    <definedName name="SVASRTVARTVAWRTVAWRTBVAWTEBAWEBTAW" localSheetId="1">#REF!</definedName>
    <definedName name="SVASRTVARTVAWRTVAWRTBVAWTEBAWEBTAW">#REF!</definedName>
    <definedName name="T" localSheetId="1">#REF!</definedName>
    <definedName name="T">#REF!</definedName>
    <definedName name="TA">#REF!</definedName>
    <definedName name="tab">#REF!</definedName>
    <definedName name="Tab_Serv.">#REF!</definedName>
    <definedName name="Tab_Serviços">#REF!</definedName>
    <definedName name="Tabela" localSheetId="1">#REF!</definedName>
    <definedName name="Tabela">#REF!</definedName>
    <definedName name="Tabela_1" localSheetId="1">#REF!</definedName>
    <definedName name="Tabela_1">#REF!</definedName>
    <definedName name="Tabela_1_6" localSheetId="1">#REF!</definedName>
    <definedName name="Tabela_1_6">#REF!</definedName>
    <definedName name="Tabela_10" localSheetId="1">#REF!</definedName>
    <definedName name="Tabela_10">#REF!</definedName>
    <definedName name="Tabela_2" localSheetId="1">#REF!</definedName>
    <definedName name="Tabela_2">#REF!</definedName>
    <definedName name="Tabela_3" localSheetId="1">#REF!</definedName>
    <definedName name="Tabela_3">#REF!</definedName>
    <definedName name="Tabela_4" localSheetId="1">#REF!</definedName>
    <definedName name="Tabela_4">#REF!</definedName>
    <definedName name="Tabela_5" localSheetId="1">#REF!</definedName>
    <definedName name="Tabela_5">#REF!</definedName>
    <definedName name="Tabela_5_1" localSheetId="1">#REF!</definedName>
    <definedName name="Tabela_5_1">#REF!</definedName>
    <definedName name="Tabela_6" localSheetId="1">#REF!</definedName>
    <definedName name="Tabela_6">#REF!</definedName>
    <definedName name="tabelaDenominação">#REF!</definedName>
    <definedName name="TABMAT">#REF!</definedName>
    <definedName name="TABREC">#REF!</definedName>
    <definedName name="tabserv">#REF!</definedName>
    <definedName name="Tachas">#REF!</definedName>
    <definedName name="Tag_Carga">#REF!</definedName>
    <definedName name="Tag_CCM">#REF!</definedName>
    <definedName name="TAM">#REF!</definedName>
    <definedName name="Tanque_lavar_roupa" localSheetId="1">#REF!</definedName>
    <definedName name="Tanque_lavar_roupa">#REF!</definedName>
    <definedName name="Tanque_premoldado" localSheetId="1">#REF!</definedName>
    <definedName name="Tanque_premoldado">#REF!</definedName>
    <definedName name="taxa_cap" localSheetId="1">#REF!</definedName>
    <definedName name="taxa_cap">#REF!</definedName>
    <definedName name="TaxaJuros">#REF!</definedName>
    <definedName name="tb">#REF!</definedName>
    <definedName name="tb_2">#REF!</definedName>
    <definedName name="TB110PI">#REF!</definedName>
    <definedName name="TB110PI_2">#REF!</definedName>
    <definedName name="TB110R">#REF!</definedName>
    <definedName name="TB110R_2">#REF!</definedName>
    <definedName name="TB316PI">#REF!</definedName>
    <definedName name="TB316PI_2">#REF!</definedName>
    <definedName name="TB316R">#REF!</definedName>
    <definedName name="TB316R_2">#REF!</definedName>
    <definedName name="TB423PI">#REF!</definedName>
    <definedName name="TB423PI_2">#REF!</definedName>
    <definedName name="TB423R">#REF!</definedName>
    <definedName name="TB423R_2">#REF!</definedName>
    <definedName name="TBA">#REF!</definedName>
    <definedName name="TBT">#REF!</definedName>
    <definedName name="TBW">#REF!</definedName>
    <definedName name="TBWA">#REF!</definedName>
    <definedName name="TCAP20">#REF!</definedName>
    <definedName name="TCB">#REF!</definedName>
    <definedName name="TCB5M3">#REF!</definedName>
    <definedName name="TCBMBUQ">#REF!</definedName>
    <definedName name="TCBW">#REF!</definedName>
    <definedName name="TCBWA">#REF!</definedName>
    <definedName name="TCC">#REF!</definedName>
    <definedName name="TCC4TCONCR">#REF!</definedName>
    <definedName name="TCC4TFORMA">#REF!</definedName>
    <definedName name="TCCB10">#REF!</definedName>
    <definedName name="TCCBRMZ">#REF!</definedName>
    <definedName name="TCCW">#REF!</definedName>
    <definedName name="TCCWA">#REF!</definedName>
    <definedName name="TEB">#REF!</definedName>
    <definedName name="TEBW">#REF!</definedName>
    <definedName name="TEBWA">#REF!</definedName>
    <definedName name="TECD">#REF!</definedName>
    <definedName name="TECD97">#REF!</definedName>
    <definedName name="temul">#REF!</definedName>
    <definedName name="Teor1" localSheetId="1">#REF!</definedName>
    <definedName name="Teor1">#REF!</definedName>
    <definedName name="TER">#REF!</definedName>
    <definedName name="TERP">#REF!</definedName>
    <definedName name="terra" localSheetId="1">#REF!</definedName>
    <definedName name="terra">#REF!</definedName>
    <definedName name="TESM">#REF!</definedName>
    <definedName name="TEST">#REF!</definedName>
    <definedName name="teste" localSheetId="1">#REF!</definedName>
    <definedName name="teste">#REF!</definedName>
    <definedName name="teste1" localSheetId="1">#REF!</definedName>
    <definedName name="teste1">#REF!</definedName>
    <definedName name="teste10" localSheetId="1">#REF!</definedName>
    <definedName name="teste10">#REF!</definedName>
    <definedName name="teste2" localSheetId="1">#REF!</definedName>
    <definedName name="teste2">#REF!</definedName>
    <definedName name="teste3" localSheetId="1">#REF!</definedName>
    <definedName name="teste3">#REF!</definedName>
    <definedName name="TESTE4" localSheetId="1">#REF!</definedName>
    <definedName name="TESTE4">#REF!</definedName>
    <definedName name="TESTE4teste" localSheetId="1">#REF!</definedName>
    <definedName name="TESTE4teste">#REF!</definedName>
    <definedName name="TESTES" localSheetId="1">#REF!</definedName>
    <definedName name="TESTES">#REF!</definedName>
    <definedName name="TETB">#REF!</definedName>
    <definedName name="TETB97">#REF!</definedName>
    <definedName name="texto">#REF!</definedName>
    <definedName name="Tiradentes">#REF!</definedName>
    <definedName name="TITULO" localSheetId="1">#REF!</definedName>
    <definedName name="TITULO">#REF!</definedName>
    <definedName name="TituloEventos" localSheetId="1">OFFSET([10]DADOS!$J$33,1,0):OFFSET([10]DADOS!$J$37,-1,0)</definedName>
    <definedName name="TituloEventos">OFFSET([11]DADOS!$J$33,1,0):OFFSET([11]DADOS!$J$37,-1,0)</definedName>
    <definedName name="_xlnm.Print_Titles" localSheetId="1">Memória!$1:$3</definedName>
    <definedName name="_xlnm.Print_Titles">#REF!</definedName>
    <definedName name="Títulos_impressão_IM" localSheetId="1">#REF!</definedName>
    <definedName name="Títulos_impressão_IM">#REF!</definedName>
    <definedName name="TLCC4">#REF!</definedName>
    <definedName name="TLMB">#REF!</definedName>
    <definedName name="tom">#REF!</definedName>
    <definedName name="TOP">#REF!</definedName>
    <definedName name="TOT">#REF!</definedName>
    <definedName name="Total" localSheetId="1">#REF!</definedName>
    <definedName name="Total">#REF!</definedName>
    <definedName name="total_19">#REF!</definedName>
    <definedName name="TOTAL_GERAL" localSheetId="1">#REF!</definedName>
    <definedName name="TOTAL_GERAL">#REF!</definedName>
    <definedName name="TOTAL_RESUMO" localSheetId="1">#REF!</definedName>
    <definedName name="TOTAL_RESUMO">#REF!</definedName>
    <definedName name="total1">#REF!</definedName>
    <definedName name="total2">#REF!</definedName>
    <definedName name="total3">#REF!</definedName>
    <definedName name="total4">#REF!</definedName>
    <definedName name="total5">#REF!</definedName>
    <definedName name="total6">#REF!</definedName>
    <definedName name="TotalEventos" localSheetId="1">SUM([0]!TotalPorEvento)</definedName>
    <definedName name="TotalEventos">SUM(TotalPorEvento)</definedName>
    <definedName name="TotalPorEvento" localSheetId="1">[10]Eventograma_e_Quantitativos!$I$36:OFFSET([10]Eventograma_e_Quantitativos!$I$39,-1,0)</definedName>
    <definedName name="TotalPorEvento">[11]Eventograma_e_Quantitativos!$I$36:OFFSET([11]Eventograma_e_Quantitativos!$I$39,-1,0)</definedName>
    <definedName name="TOTALSAIBRO" localSheetId="1">#REF!</definedName>
    <definedName name="TOTALSAIBRO">#REF!</definedName>
    <definedName name="totee_3" localSheetId="1">#REF!</definedName>
    <definedName name="totee_3">#REF!</definedName>
    <definedName name="totee1" localSheetId="1">#REF!</definedName>
    <definedName name="totee1">#REF!</definedName>
    <definedName name="totee2" localSheetId="1">#REF!</definedName>
    <definedName name="totee2">#REF!</definedName>
    <definedName name="TOTMAT_EE1" localSheetId="1">#REF!</definedName>
    <definedName name="TOTMAT_EE1">#REF!</definedName>
    <definedName name="TOTMAT_EE2" localSheetId="1">#REF!</definedName>
    <definedName name="TOTMAT_EE2">#REF!</definedName>
    <definedName name="TOTMAT_EE3" localSheetId="1">#REF!</definedName>
    <definedName name="TOTMAT_EE3">#REF!</definedName>
    <definedName name="TOTPAA">#REF!</definedName>
    <definedName name="TOTPAA_1">#REF!</definedName>
    <definedName name="TOTPAA_10">#REF!</definedName>
    <definedName name="TOTPAA_11">#REF!</definedName>
    <definedName name="TOTPAA_12">#REF!</definedName>
    <definedName name="TOTPAA_13">#REF!</definedName>
    <definedName name="TOTPAA_2">#REF!</definedName>
    <definedName name="TOTPAA_3">#REF!</definedName>
    <definedName name="TOTPAA_4">#REF!</definedName>
    <definedName name="TOTPAA_5">#REF!</definedName>
    <definedName name="TOTPAA_6">#REF!</definedName>
    <definedName name="TOTPAA_7">#REF!</definedName>
    <definedName name="TOTPAA_8">#REF!</definedName>
    <definedName name="TOTPAA_9">#REF!</definedName>
    <definedName name="TOTSER_EE1" localSheetId="1">#REF!</definedName>
    <definedName name="TOTSER_EE1">#REF!</definedName>
    <definedName name="TOTSER_EE2" localSheetId="1">#REF!</definedName>
    <definedName name="TOTSER_EE2">#REF!</definedName>
    <definedName name="TOTSER_EE3" localSheetId="1">#REF!</definedName>
    <definedName name="TOTSER_EE3">#REF!</definedName>
    <definedName name="TOTSERV">#REF!</definedName>
    <definedName name="TPC">#REF!</definedName>
    <definedName name="TPC_10">#REF!</definedName>
    <definedName name="TPC_11">#REF!</definedName>
    <definedName name="TPC_12">#REF!</definedName>
    <definedName name="TPC_13">#REF!</definedName>
    <definedName name="TPC_14">#REF!</definedName>
    <definedName name="TPC_15">#REF!</definedName>
    <definedName name="TPC_16">#REF!</definedName>
    <definedName name="TPC_17">#REF!</definedName>
    <definedName name="TPC_18">#REF!</definedName>
    <definedName name="TPC_5">#REF!</definedName>
    <definedName name="TPC_6">#REF!</definedName>
    <definedName name="TPC_7">#REF!</definedName>
    <definedName name="TPC_8">#REF!</definedName>
    <definedName name="TPC_9">#REF!</definedName>
    <definedName name="TPM" localSheetId="1">#REF!</definedName>
    <definedName name="TPM">#REF!</definedName>
    <definedName name="TPM_2">#REF!</definedName>
    <definedName name="TPM_4">#REF!</definedName>
    <definedName name="TPMM">#REF!</definedName>
    <definedName name="TR">#REF!</definedName>
    <definedName name="TRABALHO">#REF!</definedName>
    <definedName name="TrabAnual">#REF!</definedName>
    <definedName name="TRANS">#REF!</definedName>
    <definedName name="TRÂNS_SEG_EMISS2" localSheetId="1">#REF!</definedName>
    <definedName name="TRÂNS_SEG_EMISS2">#REF!</definedName>
    <definedName name="TRÂNS_SEG_EMISS3" localSheetId="1">#REF!</definedName>
    <definedName name="TRÂNS_SEG_EMISS3">#REF!</definedName>
    <definedName name="TRÂNS_SEGU" localSheetId="1">#REF!</definedName>
    <definedName name="TRÂNS_SEGU">#REF!</definedName>
    <definedName name="TRÂNS_SEGURANÇA" localSheetId="1">#REF!</definedName>
    <definedName name="TRÂNS_SEGURANÇA">#REF!</definedName>
    <definedName name="transporte">#REF!</definedName>
    <definedName name="Transportes">#REF!</definedName>
    <definedName name="TRAV_EMISS3_S" localSheetId="1">#REF!</definedName>
    <definedName name="TRAV_EMISS3_S">#REF!</definedName>
    <definedName name="TRCAP20">#REF!</definedName>
    <definedName name="TRCM30">#REF!</definedName>
    <definedName name="tre">#REF!</definedName>
    <definedName name="Trecho">#REF!</definedName>
    <definedName name="Trev">#REF!</definedName>
    <definedName name="TRFE" localSheetId="1">[1]reforma!#REF!</definedName>
    <definedName name="TRFE">[1]reforma!#REF!</definedName>
    <definedName name="TRRM1C" localSheetId="1">#REF!</definedName>
    <definedName name="TRRM1C">#REF!</definedName>
    <definedName name="TRRPL">#REF!</definedName>
    <definedName name="TRRPL_10">#REF!</definedName>
    <definedName name="TRRPL_11">#REF!</definedName>
    <definedName name="TRRPL_12">#REF!</definedName>
    <definedName name="TRRPL_13">#REF!</definedName>
    <definedName name="TRRPL_14">#REF!</definedName>
    <definedName name="TRRPL_15">#REF!</definedName>
    <definedName name="TRRPL_16">#REF!</definedName>
    <definedName name="TRRPL_17">#REF!</definedName>
    <definedName name="TRRPL_18">#REF!</definedName>
    <definedName name="TRRPL_5">#REF!</definedName>
    <definedName name="TRRPL_6">#REF!</definedName>
    <definedName name="TRRPL_7">#REF!</definedName>
    <definedName name="TRRPL_8">#REF!</definedName>
    <definedName name="TRRPL_9">#REF!</definedName>
    <definedName name="TRRR1C">#REF!</definedName>
    <definedName name="trut">#REF!</definedName>
    <definedName name="TS">#REF!</definedName>
    <definedName name="TSD">#REF!</definedName>
    <definedName name="TSDB">#REF!</definedName>
    <definedName name="TSS">#REF!</definedName>
    <definedName name="TSSB">#REF!</definedName>
    <definedName name="tssp">#REF!</definedName>
    <definedName name="tssp_2">#REF!</definedName>
    <definedName name="TT" localSheetId="1">#REF!</definedName>
    <definedName name="TT">#REF!</definedName>
    <definedName name="tttt" localSheetId="1" hidden="1">#REF!</definedName>
    <definedName name="tttt">#REF!</definedName>
    <definedName name="ttttttttttttttttttttttttttttttttt">#REF!</definedName>
    <definedName name="tudo">#REF!</definedName>
    <definedName name="tvbbb">#REF!</definedName>
    <definedName name="tyu">[1]reforma!#REF!</definedName>
    <definedName name="TYUIO" localSheetId="1">#REF!</definedName>
    <definedName name="TYUIO">#REF!</definedName>
    <definedName name="TYUIOO">#REF!</definedName>
    <definedName name="U">#REF!</definedName>
    <definedName name="uer">#REF!</definedName>
    <definedName name="ujk">[1]reforma!#REF!</definedName>
    <definedName name="últimaMedição" localSheetId="1">MAX(Memória!Import.PLE)</definedName>
    <definedName name="últimaMedição">MAX(Import.PLE)</definedName>
    <definedName name="um" localSheetId="1">#REF!</definedName>
    <definedName name="um">#REF!</definedName>
    <definedName name="UN" localSheetId="1">#REF!</definedName>
    <definedName name="UN">#REF!</definedName>
    <definedName name="UN." localSheetId="1">#REF!</definedName>
    <definedName name="UN.">#REF!</definedName>
    <definedName name="unid.2">#REF!</definedName>
    <definedName name="Unidade1">#REF!</definedName>
    <definedName name="UnidAux">#REF!</definedName>
    <definedName name="UNIT">#REF!</definedName>
    <definedName name="Unit." localSheetId="1">#REF!</definedName>
    <definedName name="Unit.">#REF!</definedName>
    <definedName name="UnitAnexo">#REF!</definedName>
    <definedName name="UNITÁRIO">#REF!</definedName>
    <definedName name="UnitNome">#REF!</definedName>
    <definedName name="UU" localSheetId="1">#REF!</definedName>
    <definedName name="UU">#REF!</definedName>
    <definedName name="uuuuuty">#REF!</definedName>
    <definedName name="UYT" localSheetId="1">[1]reforma!#REF!</definedName>
    <definedName name="UYT">[1]reforma!#REF!</definedName>
    <definedName name="V_VENDA" localSheetId="1">#REF!</definedName>
    <definedName name="V_VENDA">#REF!</definedName>
    <definedName name="VACAP">#REF!</definedName>
    <definedName name="VACM">#REF!</definedName>
    <definedName name="VALAS_EMI_19">#REF!</definedName>
    <definedName name="ValoresPorEvento" localSheetId="1">[10]Eventograma_e_Quantitativos!$N$36:OFFSET([10]Eventograma_e_Quantitativos!$BK$39,-1,0)</definedName>
    <definedName name="ValoresPorEvento">[11]Eventograma_e_Quantitativos!$N$36:OFFSET([11]Eventograma_e_Quantitativos!$BK$39,-1,0)</definedName>
    <definedName name="VAM" localSheetId="1">#REF!</definedName>
    <definedName name="VAM">#REF!</definedName>
    <definedName name="VAMM">#REF!</definedName>
    <definedName name="VARM">#REF!</definedName>
    <definedName name="VARR">#REF!</definedName>
    <definedName name="Vazio1">#REF!</definedName>
    <definedName name="vbg">[1]reforma!#REF!</definedName>
    <definedName name="VCANT" localSheetId="1">#REF!</definedName>
    <definedName name="VCANT">#REF!</definedName>
    <definedName name="VCRT">#REF!</definedName>
    <definedName name="VEICULO" localSheetId="1">#REF!</definedName>
    <definedName name="VEICULO">#REF!</definedName>
    <definedName name="VENDA_ADOTADA">#REF!</definedName>
    <definedName name="verde" localSheetId="1">#REF!</definedName>
    <definedName name="verde">#REF!</definedName>
    <definedName name="verde_2">#REF!</definedName>
    <definedName name="verde_4">#REF!</definedName>
    <definedName name="verdee">#REF!</definedName>
    <definedName name="verdepav" localSheetId="1">#REF!</definedName>
    <definedName name="verdepav">#REF!</definedName>
    <definedName name="verdepav_2">#REF!</definedName>
    <definedName name="verdepav_4">#REF!</definedName>
    <definedName name="verdepavv">#REF!</definedName>
    <definedName name="Verga" localSheetId="1">#REF!</definedName>
    <definedName name="Verga">#REF!</definedName>
    <definedName name="vfvr">#REF!</definedName>
    <definedName name="V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daAnos" localSheetId="1">#REF!</definedName>
    <definedName name="VidaAnos">#REF!</definedName>
    <definedName name="Vidahoras">#REF!</definedName>
    <definedName name="VL" localSheetId="1">#REF!</definedName>
    <definedName name="VL">#REF!</definedName>
    <definedName name="VLM">#REF!</definedName>
    <definedName name="VLPI">#REF!</definedName>
    <definedName name="VLREAJ">#REF!</definedName>
    <definedName name="VMOB">#REF!</definedName>
    <definedName name="voce">#REF!</definedName>
    <definedName name="VOL_ACUM">#REF!</definedName>
    <definedName name="VOLUM_TUBO_EMI_19">#REF!</definedName>
    <definedName name="VOLUME">#REF!</definedName>
    <definedName name="VR">#REF!</definedName>
    <definedName name="VSR">#REF!</definedName>
    <definedName name="VT" localSheetId="1">#REF!</definedName>
    <definedName name="VT">#REF!</definedName>
    <definedName name="VTE" localSheetId="1">#REF!</definedName>
    <definedName name="VTE">#REF!</definedName>
    <definedName name="VV" localSheetId="1">#REF!</definedName>
    <definedName name="VV">#REF!</definedName>
    <definedName name="vvv">#REF!</definedName>
    <definedName name="VVVV">#REF!</definedName>
    <definedName name="w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LLACY" localSheetId="1">#REF!</definedName>
    <definedName name="WALLACY">#REF!</definedName>
    <definedName name="WEFWEF">#REF!</definedName>
    <definedName name="wer">#REF!</definedName>
    <definedName name="wew_38">#REF!</definedName>
    <definedName name="WEWRWR" localSheetId="1">[0]!WEWRWR</definedName>
    <definedName name="WEWRWR">#N/A</definedName>
    <definedName name="WEWRWR_1" localSheetId="1">#REF!</definedName>
    <definedName name="WEWRWR_1">#REF!</definedName>
    <definedName name="WEWRWR_10">#REF!</definedName>
    <definedName name="WEWRWR_12">#REF!</definedName>
    <definedName name="WEWRWR_13">#REF!</definedName>
    <definedName name="WEWRWR_19">#REF!</definedName>
    <definedName name="WEWRWR_2">#REF!</definedName>
    <definedName name="WEWRWR_21">#REF!</definedName>
    <definedName name="WEWRWR_23">#REF!</definedName>
    <definedName name="WEWRWR_24">#REF!</definedName>
    <definedName name="WEWRWR_26">#REF!</definedName>
    <definedName name="WEWRWR_27">#REF!</definedName>
    <definedName name="WEWRWR_29">#REF!</definedName>
    <definedName name="WEWRWR_30">#REF!</definedName>
    <definedName name="WEWRWR_31">#REF!</definedName>
    <definedName name="WEWRWR_33">#REF!</definedName>
    <definedName name="WEWRWR_34">#REF!</definedName>
    <definedName name="WEWRWR_35">#REF!</definedName>
    <definedName name="WEWRWR_36">#REF!</definedName>
    <definedName name="WEWRWR_37">#REF!</definedName>
    <definedName name="WEWRWR_38">#REF!</definedName>
    <definedName name="WEWRWR_39">#REF!</definedName>
    <definedName name="WEWRWR_4">#REF!</definedName>
    <definedName name="WEWRWR_40">#REF!</definedName>
    <definedName name="WEWRWR_41">#REF!</definedName>
    <definedName name="WEWRWR_42">#REF!</definedName>
    <definedName name="WEWRWR_43">#REF!</definedName>
    <definedName name="WEWRWR_44">#REF!</definedName>
    <definedName name="WEWRWR_45">#REF!</definedName>
    <definedName name="WEWRWR_46">#REF!</definedName>
    <definedName name="WEWRWR_47">#REF!</definedName>
    <definedName name="WEWRWR_48">#REF!</definedName>
    <definedName name="WEWRWR_51">#REF!</definedName>
    <definedName name="WEWRWR_52">#REF!</definedName>
    <definedName name="WEWRWR_53">#REF!</definedName>
    <definedName name="WEWRWR_54">#REF!</definedName>
    <definedName name="WEWRWR_55">#REF!</definedName>
    <definedName name="WEWRWR_56">#REF!</definedName>
    <definedName name="WEWRWR_57">#REF!</definedName>
    <definedName name="WEWRWR_58">#REF!</definedName>
    <definedName name="WEWRWR_59">#REF!</definedName>
    <definedName name="WEWRWR_60">#REF!</definedName>
    <definedName name="WEWRWR_61">#REF!</definedName>
    <definedName name="WEWRWR_62">#REF!</definedName>
    <definedName name="WEWRWR_63">#REF!</definedName>
    <definedName name="WEWRWR_64">#REF!</definedName>
    <definedName name="WEWRWR_65">#REF!</definedName>
    <definedName name="WEWRWR_66">#REF!</definedName>
    <definedName name="WEWRWR_67">#REF!</definedName>
    <definedName name="WEWRWR_68">#REF!</definedName>
    <definedName name="WEWRWR_69">#REF!</definedName>
    <definedName name="WEWRWR_7">#REF!</definedName>
    <definedName name="WEWRWR_70">#REF!</definedName>
    <definedName name="WEWRWR_71">#REF!</definedName>
    <definedName name="WEWRWR_72">#REF!</definedName>
    <definedName name="WEWRWR_8">#REF!</definedName>
    <definedName name="WEWRWRE" localSheetId="1">[0]!WEWRWRE</definedName>
    <definedName name="WEWRWRE">#N/A</definedName>
    <definedName name="whashintom" localSheetId="1">#REF!</definedName>
    <definedName name="whashintom">#REF!</definedName>
    <definedName name="WQW" localSheetId="1">#REF!</definedName>
    <definedName name="WQW">#REF!</definedName>
    <definedName name="wrkifoerngperg" localSheetId="1">#REF!</definedName>
    <definedName name="wrkifoerngperg">#REF!</definedName>
    <definedName name="wrn.Cronograma." localSheetId="1" hidden="1">{#N/A,#N/A,FALSE,"Cronograma";#N/A,#N/A,FALSE,"Cronogr. 2"}</definedName>
    <definedName name="wrn.Cronograma.">{#N/A,#N/A,FALSE,"Cronograma";#N/A,#N/A,FALSE,"Cronogr. 2"}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>{#N/A,#N/A,FALSE,"ET-CAPA";#N/A,#N/A,FALSE,"ET-PAG1";#N/A,#N/A,FALSE,"ET-PAG2";#N/A,#N/A,FALSE,"ET-PAG3";#N/A,#N/A,FALSE,"ET-PAG4";#N/A,#N/A,FALSE,"ET-PAG5"}</definedName>
    <definedName name="wrn.impresión." localSheetId="1">#REF!</definedName>
    <definedName name="wrn.impresión.">#REF!</definedName>
    <definedName name="wrn.impresión.1">#REF!</definedName>
    <definedName name="wrn.mo2." localSheetId="1" hidden="1">{#N/A,#N/A,FALSE,"MO (2)"}</definedName>
    <definedName name="wrn.mo2.">{#N/A,#N/A,FALSE,"MO (2)"}</definedName>
    <definedName name="wrn.Orçamento." localSheetId="1" hidden="1">{#N/A,#N/A,FALSE,"Planilha";#N/A,#N/A,FALSE,"Resumo";#N/A,#N/A,FALSE,"Fisico";#N/A,#N/A,FALSE,"Financeiro";#N/A,#N/A,FALSE,"Financeiro"}</definedName>
    <definedName name="wrn.Orçamento.">{#N/A,#N/A,FALSE,"Planilha";#N/A,#N/A,FALSE,"Resumo";#N/A,#N/A,FALSE,"Fisico";#N/A,#N/A,FALSE,"Financeiro";#N/A,#N/A,FALSE,"Financeiro"}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LAT_EAP." localSheetId="1">#REF!</definedName>
    <definedName name="wrn.RELAT_EAP.">#REF!</definedName>
    <definedName name="wrn.relext.">#REF!</definedName>
    <definedName name="wrn.SBBE.">#REF!</definedName>
    <definedName name="wrn.Tipo.">#REF!</definedName>
    <definedName name="wrn.Tipo..">#REF!</definedName>
    <definedName name="wrn.VENTAS.">#REF!</definedName>
    <definedName name="wrn.ventas.1">#REF!</definedName>
    <definedName name="WSFDGSJHKJSçghsK" localSheetId="1">#REF!</definedName>
    <definedName name="WSFDGSJHKJSçghsK">#REF!</definedName>
    <definedName name="wvu.Print_Todo.">#REF!</definedName>
    <definedName name="wvu.Socios._.95.">#REF!</definedName>
    <definedName name="WW" localSheetId="1">#REF!</definedName>
    <definedName name="WW">#REF!</definedName>
    <definedName name="wwwwwwwwwwww">#REF!</definedName>
    <definedName name="X" localSheetId="1" hidden="1">{#N/A,#N/A,FALSE,"Planilha";#N/A,#N/A,FALSE,"Resumo";#N/A,#N/A,FALSE,"Fisico";#N/A,#N/A,FALSE,"Financeiro";#N/A,#N/A,FALSE,"Financeiro"}</definedName>
    <definedName name="X">{#N/A,#N/A,FALSE,"Planilha";#N/A,#N/A,FALSE,"Resumo";#N/A,#N/A,FALSE,"Fisico";#N/A,#N/A,FALSE,"Financeiro";#N/A,#N/A,FALSE,"Financeiro"}</definedName>
    <definedName name="x_10" localSheetId="1">#REF!</definedName>
    <definedName name="x_10">#REF!</definedName>
    <definedName name="x_11">#REF!</definedName>
    <definedName name="x_12">#REF!</definedName>
    <definedName name="x_13">#REF!</definedName>
    <definedName name="x_14">#REF!</definedName>
    <definedName name="x_15">#REF!</definedName>
    <definedName name="x_16">#REF!</definedName>
    <definedName name="x_17">#REF!</definedName>
    <definedName name="x_18">#REF!</definedName>
    <definedName name="x_3">#REF!</definedName>
    <definedName name="x_4">#REF!</definedName>
    <definedName name="x_5">#REF!</definedName>
    <definedName name="x_6">#REF!</definedName>
    <definedName name="x_7">#REF!</definedName>
    <definedName name="x_8">#REF!</definedName>
    <definedName name="x_9">#REF!</definedName>
    <definedName name="Xa" localSheetId="1">#REF!</definedName>
    <definedName name="Xa">#REF!</definedName>
    <definedName name="Xb" localSheetId="1">#REF!</definedName>
    <definedName name="Xb">#REF!</definedName>
    <definedName name="Xc" localSheetId="1">#REF!</definedName>
    <definedName name="Xc">#REF!</definedName>
    <definedName name="xc32dd">#REF!</definedName>
    <definedName name="xczvzxc" localSheetId="1">#REF!</definedName>
    <definedName name="xczvzxc">#REF!</definedName>
    <definedName name="xsd">#REF!</definedName>
    <definedName name="XX" localSheetId="1">#REF!</definedName>
    <definedName name="XX">#REF!</definedName>
    <definedName name="xx_38">#REF!</definedName>
    <definedName name="xxc">#REF!</definedName>
    <definedName name="xxd">#REF!</definedName>
    <definedName name="XXX" localSheetId="1">[0]!XXX</definedName>
    <definedName name="XXX">#N/A</definedName>
    <definedName name="XXX_1" localSheetId="1">#REF!</definedName>
    <definedName name="XXX_1">#REF!</definedName>
    <definedName name="XXX_10">#REF!</definedName>
    <definedName name="XXX_12">#REF!</definedName>
    <definedName name="XXX_13">#REF!</definedName>
    <definedName name="XXX_19">#REF!</definedName>
    <definedName name="XXX_2">#REF!</definedName>
    <definedName name="XXX_21">#REF!</definedName>
    <definedName name="XXX_23">#REF!</definedName>
    <definedName name="XXX_24">#REF!</definedName>
    <definedName name="XXX_26">#REF!</definedName>
    <definedName name="XXX_27">#REF!</definedName>
    <definedName name="XXX_29">#REF!</definedName>
    <definedName name="XXX_30">#REF!</definedName>
    <definedName name="XXX_31">#REF!</definedName>
    <definedName name="XXX_33">#REF!</definedName>
    <definedName name="XXX_34">#REF!</definedName>
    <definedName name="XXX_35">#REF!</definedName>
    <definedName name="XXX_36">#REF!</definedName>
    <definedName name="XXX_37">#REF!</definedName>
    <definedName name="XXX_38">#REF!</definedName>
    <definedName name="XXX_39">#REF!</definedName>
    <definedName name="XXX_4">#REF!</definedName>
    <definedName name="XXX_40">#REF!</definedName>
    <definedName name="XXX_41">#REF!</definedName>
    <definedName name="XXX_42">#REF!</definedName>
    <definedName name="XXX_43">#REF!</definedName>
    <definedName name="XXX_44">#REF!</definedName>
    <definedName name="XXX_45">#REF!</definedName>
    <definedName name="XXX_46">#REF!</definedName>
    <definedName name="XXX_47">#REF!</definedName>
    <definedName name="XXX_48">#REF!</definedName>
    <definedName name="XXX_51">#REF!</definedName>
    <definedName name="XXX_52">#REF!</definedName>
    <definedName name="XXX_53">#REF!</definedName>
    <definedName name="XXX_54">#REF!</definedName>
    <definedName name="XXX_55">#REF!</definedName>
    <definedName name="XXX_56">#REF!</definedName>
    <definedName name="XXX_57">#REF!</definedName>
    <definedName name="XXX_58">#REF!</definedName>
    <definedName name="XXX_59">#REF!</definedName>
    <definedName name="XXX_60">#REF!</definedName>
    <definedName name="XXX_61">#REF!</definedName>
    <definedName name="XXX_62">#REF!</definedName>
    <definedName name="XXX_63">#REF!</definedName>
    <definedName name="XXX_64">#REF!</definedName>
    <definedName name="XXX_65">#REF!</definedName>
    <definedName name="XXX_66">#REF!</definedName>
    <definedName name="XXX_67">#REF!</definedName>
    <definedName name="XXX_68">#REF!</definedName>
    <definedName name="XXX_69">#REF!</definedName>
    <definedName name="XXX_7">#REF!</definedName>
    <definedName name="XXX_70">#REF!</definedName>
    <definedName name="XXX_71">#REF!</definedName>
    <definedName name="XXX_72">#REF!</definedName>
    <definedName name="XXX_8">#REF!</definedName>
    <definedName name="xxxc">#REF!</definedName>
    <definedName name="XXXX" localSheetId="1">[0]!XXXX</definedName>
    <definedName name="XXXX">#N/A</definedName>
    <definedName name="xxxxx" localSheetId="1">#REF!</definedName>
    <definedName name="xxxxx">#REF!</definedName>
    <definedName name="xxxxxxx" localSheetId="1">#REF!</definedName>
    <definedName name="xxxxxxx">#REF!</definedName>
    <definedName name="XXXXXXXX">#REF!</definedName>
    <definedName name="Y" localSheetId="1">#REF!</definedName>
    <definedName name="Y">#REF!</definedName>
    <definedName name="yety">#REF!</definedName>
    <definedName name="YJGGHG" localSheetId="1">[1]reforma!#REF!</definedName>
    <definedName name="YJGGHG">[1]reforma!#REF!</definedName>
    <definedName name="yngrid" localSheetId="1">#REF!</definedName>
    <definedName name="yngrid">#REF!</definedName>
    <definedName name="yngridd" localSheetId="1">#REF!</definedName>
    <definedName name="yngridd">#REF!</definedName>
    <definedName name="yoli" localSheetId="1">#REF!</definedName>
    <definedName name="yoli">#REF!</definedName>
    <definedName name="yreyre">#REF!</definedName>
    <definedName name="yULIAN" localSheetId="1">#REF!</definedName>
    <definedName name="yULIAN">#REF!</definedName>
    <definedName name="YY" localSheetId="1">#REF!</definedName>
    <definedName name="YY">#REF!</definedName>
    <definedName name="Z" localSheetId="1">#REF!</definedName>
    <definedName name="Z">#REF!</definedName>
    <definedName name="ZA">#REF!</definedName>
    <definedName name="zaza">#REF!</definedName>
    <definedName name="ZCERTOP" localSheetId="1">#REF!</definedName>
    <definedName name="ZCERTOP">#REF!</definedName>
    <definedName name="zsfdbvzsfdbfzdb" localSheetId="1">#REF!</definedName>
    <definedName name="zsfdbvzsfdbfzdb">#REF!</definedName>
    <definedName name="zxc" localSheetId="1">[1]reforma!#REF!</definedName>
    <definedName name="zxc">[1]reforma!#REF!</definedName>
    <definedName name="ZZ" localSheetId="1">#REF!</definedName>
    <definedName name="ZZ">#REF!</definedName>
    <definedName name="z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8" i="2"/>
  <c r="K7" i="2"/>
  <c r="I61" i="54"/>
  <c r="D61" i="54"/>
  <c r="I58" i="54"/>
  <c r="I53" i="54"/>
  <c r="I48" i="54"/>
  <c r="D58" i="54"/>
  <c r="D53" i="54"/>
  <c r="D48" i="54"/>
  <c r="I28" i="54"/>
  <c r="D28" i="54"/>
  <c r="I25" i="54"/>
  <c r="I20" i="54"/>
  <c r="I15" i="54"/>
  <c r="D25" i="54"/>
  <c r="D20" i="54"/>
  <c r="D15" i="54"/>
  <c r="C22" i="20"/>
  <c r="C68" i="20"/>
  <c r="C114" i="20"/>
  <c r="C157" i="20"/>
  <c r="C182" i="20"/>
  <c r="C222" i="20"/>
  <c r="C259" i="20"/>
  <c r="C296" i="20"/>
  <c r="C303" i="20"/>
  <c r="C310" i="20"/>
  <c r="C314" i="20"/>
  <c r="N315" i="20" l="1"/>
  <c r="N314" i="20" s="1"/>
  <c r="N311" i="20"/>
  <c r="N310" i="20" s="1"/>
  <c r="N293" i="20"/>
  <c r="N281" i="20"/>
  <c r="N275" i="20"/>
  <c r="N269" i="20"/>
  <c r="N256" i="20"/>
  <c r="N253" i="20"/>
  <c r="N250" i="20"/>
  <c r="N247" i="20"/>
  <c r="N244" i="20"/>
  <c r="N238" i="20"/>
  <c r="N223" i="20"/>
  <c r="N219" i="20"/>
  <c r="N216" i="20"/>
  <c r="N210" i="20"/>
  <c r="N207" i="20"/>
  <c r="N204" i="20"/>
  <c r="N201" i="20"/>
  <c r="N195" i="20"/>
  <c r="N189" i="20"/>
  <c r="N186" i="20"/>
  <c r="N183" i="20"/>
  <c r="N176" i="20"/>
  <c r="N173" i="20"/>
  <c r="N170" i="20"/>
  <c r="N167" i="20"/>
  <c r="N164" i="20"/>
  <c r="N158" i="20"/>
  <c r="N154" i="20"/>
  <c r="N151" i="20"/>
  <c r="N145" i="20"/>
  <c r="N142" i="20"/>
  <c r="N136" i="20"/>
  <c r="N124" i="20"/>
  <c r="N118" i="20"/>
  <c r="N115" i="20"/>
  <c r="N108" i="20"/>
  <c r="N105" i="20"/>
  <c r="N99" i="20"/>
  <c r="N96" i="20"/>
  <c r="N93" i="20"/>
  <c r="N90" i="20"/>
  <c r="N69" i="20"/>
  <c r="N65" i="20"/>
  <c r="N62" i="20"/>
  <c r="N47" i="20"/>
  <c r="N44" i="20"/>
  <c r="N29" i="20"/>
  <c r="N23" i="20"/>
  <c r="N19" i="20"/>
  <c r="N10" i="20"/>
  <c r="N304" i="20" l="1"/>
  <c r="N297" i="20"/>
  <c r="N198" i="20"/>
  <c r="N161" i="20"/>
  <c r="N179" i="20"/>
  <c r="N84" i="20"/>
  <c r="N121" i="20"/>
  <c r="N278" i="20"/>
  <c r="N226" i="20"/>
  <c r="N290" i="20"/>
  <c r="N26" i="20"/>
  <c r="N72" i="20"/>
  <c r="N111" i="20"/>
  <c r="N56" i="20"/>
  <c r="N59" i="20"/>
  <c r="N272" i="20"/>
  <c r="N41" i="20"/>
  <c r="N139" i="20"/>
  <c r="N213" i="20"/>
  <c r="N241" i="20"/>
  <c r="N300" i="20"/>
  <c r="N16" i="20"/>
  <c r="N32" i="20"/>
  <c r="N75" i="20"/>
  <c r="N53" i="20"/>
  <c r="N102" i="20"/>
  <c r="N232" i="20"/>
  <c r="N263" i="20"/>
  <c r="N287" i="20"/>
  <c r="N284" i="20"/>
  <c r="N50" i="20"/>
  <c r="N127" i="20"/>
  <c r="N192" i="20"/>
  <c r="N229" i="20"/>
  <c r="N260" i="20"/>
  <c r="N87" i="20"/>
  <c r="N148" i="20"/>
  <c r="N307" i="20"/>
  <c r="N303" i="20" s="1"/>
  <c r="N35" i="20"/>
  <c r="N78" i="20"/>
  <c r="N130" i="20"/>
  <c r="N38" i="20"/>
  <c r="N235" i="20"/>
  <c r="N266" i="20"/>
  <c r="N81" i="20"/>
  <c r="N133" i="20"/>
  <c r="N157" i="20"/>
  <c r="N296" i="20" l="1"/>
  <c r="N222" i="20"/>
  <c r="N182" i="20"/>
  <c r="N68" i="20"/>
  <c r="N114" i="20"/>
  <c r="N259" i="20"/>
  <c r="N22" i="20"/>
  <c r="C319" i="20" l="1"/>
  <c r="O3" i="20" s="1"/>
  <c r="M318" i="20" l="1"/>
  <c r="K318" i="20"/>
  <c r="J318" i="20"/>
  <c r="I318" i="20"/>
  <c r="E318" i="20"/>
  <c r="D318" i="20"/>
  <c r="F318" i="20"/>
  <c r="H318" i="20"/>
  <c r="L318" i="20"/>
  <c r="G318" i="20"/>
  <c r="N13" i="20" l="1"/>
  <c r="D319" i="20" l="1"/>
  <c r="E319" i="20" s="1"/>
  <c r="F319" i="20" s="1"/>
  <c r="G319" i="20" s="1"/>
  <c r="H319" i="20" s="1"/>
  <c r="I319" i="20" s="1"/>
  <c r="J319" i="20" s="1"/>
  <c r="K319" i="20" s="1"/>
  <c r="L319" i="20" s="1"/>
  <c r="M319" i="20" s="1"/>
  <c r="N319" i="20" s="1"/>
  <c r="N318" i="20"/>
  <c r="O1743" i="3" l="1"/>
  <c r="O1742" i="3" s="1"/>
  <c r="N1920" i="3"/>
  <c r="N1704" i="3"/>
  <c r="O1704" i="3" s="1"/>
  <c r="O1703" i="3" s="1"/>
  <c r="O1741" i="3"/>
  <c r="O1740" i="3" s="1"/>
  <c r="O1739" i="3"/>
  <c r="O1738" i="3" s="1"/>
  <c r="O1734" i="3"/>
  <c r="O1733" i="3"/>
  <c r="O1731" i="3"/>
  <c r="O1730" i="3" s="1"/>
  <c r="O1729" i="3"/>
  <c r="O1728" i="3" s="1"/>
  <c r="O1727" i="3"/>
  <c r="O1726" i="3" s="1"/>
  <c r="O1725" i="3"/>
  <c r="O1724" i="3" s="1"/>
  <c r="O1723" i="3"/>
  <c r="O1721" i="3"/>
  <c r="O1720" i="3"/>
  <c r="O1718" i="3"/>
  <c r="O1716" i="3"/>
  <c r="O1715" i="3" s="1"/>
  <c r="O1714" i="3"/>
  <c r="O1713" i="3" s="1"/>
  <c r="O1712" i="3"/>
  <c r="O1711" i="3" s="1"/>
  <c r="O1710" i="3"/>
  <c r="O1709" i="3" s="1"/>
  <c r="O1708" i="3"/>
  <c r="O1707" i="3" s="1"/>
  <c r="O1706" i="3"/>
  <c r="O1705" i="3" s="1"/>
  <c r="O1702" i="3"/>
  <c r="O1701" i="3" s="1"/>
  <c r="O1700" i="3"/>
  <c r="O1699" i="3" s="1"/>
  <c r="O1698" i="3"/>
  <c r="O1697" i="3" s="1"/>
  <c r="O1759" i="3"/>
  <c r="O1749" i="3"/>
  <c r="O1732" i="3" l="1"/>
  <c r="N1736" i="3"/>
  <c r="O1736" i="3" s="1"/>
  <c r="O1719" i="3"/>
  <c r="O1722" i="3"/>
  <c r="N1737" i="3"/>
  <c r="O1737" i="3" s="1"/>
  <c r="O1735" i="3" s="1"/>
  <c r="O1717" i="3"/>
  <c r="N405" i="3" l="1"/>
  <c r="N40" i="3"/>
  <c r="N80" i="3"/>
  <c r="N44" i="3"/>
  <c r="N58" i="3"/>
  <c r="N36" i="3"/>
  <c r="N52" i="3"/>
  <c r="N406" i="3"/>
  <c r="N42" i="3"/>
  <c r="N46" i="3"/>
  <c r="N50" i="3"/>
  <c r="N56" i="3"/>
  <c r="N62" i="3"/>
  <c r="N59" i="3"/>
  <c r="N74" i="3"/>
  <c r="N53" i="3"/>
  <c r="N38" i="3"/>
  <c r="N126" i="3"/>
  <c r="N122" i="3"/>
  <c r="N118" i="3"/>
  <c r="N116" i="3"/>
  <c r="N114" i="3"/>
  <c r="N112" i="3"/>
  <c r="N124" i="3"/>
  <c r="N108" i="3"/>
  <c r="N87" i="3"/>
  <c r="N99" i="3"/>
  <c r="N96" i="3"/>
  <c r="N125" i="3"/>
  <c r="N110" i="3"/>
  <c r="N88" i="3"/>
  <c r="N106" i="3"/>
  <c r="N103" i="3"/>
  <c r="N100" i="3"/>
  <c r="N97" i="3"/>
  <c r="N94" i="3"/>
  <c r="N91" i="3"/>
  <c r="O40" i="3" l="1"/>
  <c r="O39" i="3" s="1"/>
  <c r="O55" i="3"/>
  <c r="O61" i="3"/>
  <c r="O52" i="3"/>
  <c r="O56" i="3"/>
  <c r="O53" i="3"/>
  <c r="O84" i="3"/>
  <c r="O83" i="3" s="1"/>
  <c r="O82" i="3"/>
  <c r="O81" i="3" s="1"/>
  <c r="O80" i="3"/>
  <c r="O79" i="3" s="1"/>
  <c r="O75" i="3"/>
  <c r="O74" i="3"/>
  <c r="O72" i="3"/>
  <c r="O71" i="3" s="1"/>
  <c r="O70" i="3"/>
  <c r="O69" i="3" s="1"/>
  <c r="O68" i="3"/>
  <c r="O67" i="3" s="1"/>
  <c r="O66" i="3"/>
  <c r="O65" i="3" s="1"/>
  <c r="O64" i="3"/>
  <c r="O63" i="3" s="1"/>
  <c r="O62" i="3"/>
  <c r="O59" i="3"/>
  <c r="O58" i="3"/>
  <c r="O50" i="3"/>
  <c r="O49" i="3" s="1"/>
  <c r="O48" i="3"/>
  <c r="O47" i="3" s="1"/>
  <c r="O46" i="3"/>
  <c r="O45" i="3" s="1"/>
  <c r="O44" i="3"/>
  <c r="O43" i="3" s="1"/>
  <c r="O42" i="3"/>
  <c r="O41" i="3" s="1"/>
  <c r="O38" i="3"/>
  <c r="O37" i="3" s="1"/>
  <c r="O36" i="3"/>
  <c r="O35" i="3" s="1"/>
  <c r="O34" i="3"/>
  <c r="O33" i="3" s="1"/>
  <c r="O93" i="3"/>
  <c r="O90" i="3"/>
  <c r="O126" i="3"/>
  <c r="O125" i="3"/>
  <c r="O124" i="3"/>
  <c r="O122" i="3"/>
  <c r="O121" i="3" s="1"/>
  <c r="O120" i="3"/>
  <c r="O119" i="3" s="1"/>
  <c r="O118" i="3"/>
  <c r="O117" i="3" s="1"/>
  <c r="O116" i="3"/>
  <c r="O115" i="3" s="1"/>
  <c r="O114" i="3"/>
  <c r="O113" i="3" s="1"/>
  <c r="O112" i="3"/>
  <c r="O111" i="3" s="1"/>
  <c r="O110" i="3"/>
  <c r="O109" i="3" s="1"/>
  <c r="O108" i="3"/>
  <c r="O107" i="3" s="1"/>
  <c r="O106" i="3"/>
  <c r="O105" i="3"/>
  <c r="O103" i="3"/>
  <c r="O102" i="3"/>
  <c r="O100" i="3"/>
  <c r="O99" i="3"/>
  <c r="O97" i="3"/>
  <c r="O96" i="3"/>
  <c r="O94" i="3"/>
  <c r="O91" i="3"/>
  <c r="O88" i="3"/>
  <c r="O87" i="3"/>
  <c r="O1405" i="3"/>
  <c r="O1404" i="3" s="1"/>
  <c r="O1403" i="3"/>
  <c r="O1402" i="3" s="1"/>
  <c r="O1378" i="3"/>
  <c r="O1377" i="3" s="1"/>
  <c r="O1376" i="3"/>
  <c r="O1375" i="3" s="1"/>
  <c r="O1374" i="3"/>
  <c r="O1373" i="3" s="1"/>
  <c r="O1372" i="3"/>
  <c r="O1371" i="3" s="1"/>
  <c r="O4790" i="3"/>
  <c r="O4789" i="3" s="1"/>
  <c r="O4788" i="3"/>
  <c r="O4787" i="3" s="1"/>
  <c r="O4782" i="3"/>
  <c r="O4781" i="3" s="1"/>
  <c r="O4780" i="3"/>
  <c r="O4779" i="3" s="1"/>
  <c r="O4778" i="3"/>
  <c r="O4777" i="3" s="1"/>
  <c r="O4655" i="3"/>
  <c r="O4654" i="3" s="1"/>
  <c r="O4653" i="3"/>
  <c r="O4652" i="3" s="1"/>
  <c r="O4756" i="3"/>
  <c r="O4755" i="3" s="1"/>
  <c r="O4754" i="3"/>
  <c r="O4753" i="3" s="1"/>
  <c r="O4752" i="3"/>
  <c r="O4751" i="3" s="1"/>
  <c r="O4496" i="3"/>
  <c r="O4511" i="3"/>
  <c r="O4510" i="3"/>
  <c r="O4509" i="3"/>
  <c r="O4508" i="3"/>
  <c r="O4495" i="3"/>
  <c r="O4494" i="3"/>
  <c r="O4493" i="3"/>
  <c r="O4492" i="3"/>
  <c r="O4488" i="3"/>
  <c r="O4489" i="3"/>
  <c r="O4490" i="3"/>
  <c r="O4460" i="3"/>
  <c r="O4459" i="3"/>
  <c r="O4458" i="3"/>
  <c r="O4457" i="3"/>
  <c r="O4455" i="3"/>
  <c r="O4454" i="3"/>
  <c r="O4453" i="3"/>
  <c r="O4452" i="3"/>
  <c r="O4485" i="3"/>
  <c r="O4483" i="3"/>
  <c r="O4482" i="3"/>
  <c r="O4481" i="3"/>
  <c r="O4480" i="3"/>
  <c r="O4479" i="3"/>
  <c r="O4478" i="3"/>
  <c r="O4477" i="3"/>
  <c r="O4476" i="3"/>
  <c r="O4475" i="3"/>
  <c r="O4464" i="3"/>
  <c r="O4465" i="3"/>
  <c r="O4466" i="3"/>
  <c r="O4467" i="3"/>
  <c r="O4468" i="3"/>
  <c r="O4469" i="3"/>
  <c r="O4470" i="3"/>
  <c r="O4471" i="3"/>
  <c r="O4448" i="3"/>
  <c r="O4447" i="3"/>
  <c r="O4446" i="3"/>
  <c r="O4445" i="3"/>
  <c r="O4444" i="3"/>
  <c r="O4443" i="3"/>
  <c r="O4442" i="3"/>
  <c r="O4441" i="3"/>
  <c r="O4439" i="3"/>
  <c r="O4438" i="3"/>
  <c r="O4437" i="3"/>
  <c r="O4436" i="3"/>
  <c r="O4435" i="3"/>
  <c r="O4434" i="3"/>
  <c r="O4432" i="3"/>
  <c r="O4431" i="3"/>
  <c r="O4430" i="3"/>
  <c r="O4429" i="3"/>
  <c r="O4428" i="3"/>
  <c r="O4427" i="3"/>
  <c r="O4420" i="3"/>
  <c r="O4422" i="3"/>
  <c r="O4423" i="3"/>
  <c r="O4424" i="3"/>
  <c r="O4425" i="3"/>
  <c r="O4450" i="3"/>
  <c r="O4449" i="3" s="1"/>
  <c r="O4417" i="3"/>
  <c r="O60" i="3" l="1"/>
  <c r="O51" i="3"/>
  <c r="O73" i="3"/>
  <c r="O104" i="3"/>
  <c r="O101" i="3"/>
  <c r="O95" i="3"/>
  <c r="O54" i="3"/>
  <c r="N78" i="3"/>
  <c r="O78" i="3" s="1"/>
  <c r="O57" i="3"/>
  <c r="N77" i="3"/>
  <c r="O77" i="3" s="1"/>
  <c r="O89" i="3"/>
  <c r="O98" i="3"/>
  <c r="O92" i="3"/>
  <c r="O86" i="3"/>
  <c r="O123" i="3"/>
  <c r="O4491" i="3"/>
  <c r="O4456" i="3"/>
  <c r="O4451" i="3"/>
  <c r="O4440" i="3"/>
  <c r="O4426" i="3"/>
  <c r="O4433" i="3"/>
  <c r="O4416" i="3"/>
  <c r="O4415" i="3" s="1"/>
  <c r="O76" i="3" l="1"/>
  <c r="O4411" i="3"/>
  <c r="O4410" i="3" s="1"/>
  <c r="K4404" i="3"/>
  <c r="O4404" i="3" s="1"/>
  <c r="K4403" i="3"/>
  <c r="O4403" i="3" s="1"/>
  <c r="K4402" i="3"/>
  <c r="O4402" i="3" s="1"/>
  <c r="K4401" i="3"/>
  <c r="O4401" i="3" s="1"/>
  <c r="K4397" i="3"/>
  <c r="O4397" i="3" s="1"/>
  <c r="K4396" i="3"/>
  <c r="O4396" i="3" s="1"/>
  <c r="K4395" i="3"/>
  <c r="O4395" i="3" s="1"/>
  <c r="K4394" i="3"/>
  <c r="K4399" i="3"/>
  <c r="O4399" i="3" s="1"/>
  <c r="O4398" i="3" s="1"/>
  <c r="K4392" i="3"/>
  <c r="O4392" i="3" s="1"/>
  <c r="K4391" i="3"/>
  <c r="O4391" i="3" s="1"/>
  <c r="O4389" i="3"/>
  <c r="O4386" i="3"/>
  <c r="O4385" i="3"/>
  <c r="K4384" i="3"/>
  <c r="O4384" i="3" s="1"/>
  <c r="K4383" i="3"/>
  <c r="O4383" i="3" s="1"/>
  <c r="K4382" i="3"/>
  <c r="O4382" i="3" s="1"/>
  <c r="K4380" i="3"/>
  <c r="O4380" i="3" s="1"/>
  <c r="K4381" i="3"/>
  <c r="O4381" i="3" s="1"/>
  <c r="K4379" i="3"/>
  <c r="O4379" i="3" s="1"/>
  <c r="K4378" i="3"/>
  <c r="O4378" i="3" s="1"/>
  <c r="K4377" i="3"/>
  <c r="O4367" i="3"/>
  <c r="O4366" i="3"/>
  <c r="O4365" i="3"/>
  <c r="O4356" i="3"/>
  <c r="O4355" i="3" s="1"/>
  <c r="O4354" i="3"/>
  <c r="O4353" i="3" s="1"/>
  <c r="O4348" i="3"/>
  <c r="O4345" i="3"/>
  <c r="O4342" i="3"/>
  <c r="O4347" i="3"/>
  <c r="O4344" i="3"/>
  <c r="O4341" i="3"/>
  <c r="O4340" i="3" l="1"/>
  <c r="O4390" i="3"/>
  <c r="O4400" i="3"/>
  <c r="O4343" i="3"/>
  <c r="O4346" i="3"/>
  <c r="O4414" i="3" l="1"/>
  <c r="O4314" i="3"/>
  <c r="O4336" i="3"/>
  <c r="O4335" i="3" s="1"/>
  <c r="O4334" i="3"/>
  <c r="O4333" i="3" s="1"/>
  <c r="O4332" i="3"/>
  <c r="O4331" i="3" s="1"/>
  <c r="O4330" i="3"/>
  <c r="O4329" i="3" s="1"/>
  <c r="O4328" i="3"/>
  <c r="O4327" i="3" s="1"/>
  <c r="O4326" i="3"/>
  <c r="O4325" i="3" s="1"/>
  <c r="O4324" i="3"/>
  <c r="O4323" i="3" s="1"/>
  <c r="O4322" i="3"/>
  <c r="O4321" i="3" s="1"/>
  <c r="O4320" i="3"/>
  <c r="O4319" i="3" s="1"/>
  <c r="O4318" i="3"/>
  <c r="O4317" i="3" s="1"/>
  <c r="O4316" i="3"/>
  <c r="O4315" i="3" s="1"/>
  <c r="O3128" i="3" l="1"/>
  <c r="O3127" i="3" s="1"/>
  <c r="O3130" i="3"/>
  <c r="O3129" i="3" s="1"/>
  <c r="O3132" i="3"/>
  <c r="O3131" i="3" s="1"/>
  <c r="O3134" i="3"/>
  <c r="O3133" i="3" s="1"/>
  <c r="O3136" i="3"/>
  <c r="O3135" i="3" s="1"/>
  <c r="O3138" i="3"/>
  <c r="O3137" i="3" s="1"/>
  <c r="O3140" i="3"/>
  <c r="O3139" i="3" s="1"/>
  <c r="O3142" i="3"/>
  <c r="O3141" i="3" s="1"/>
  <c r="O3144" i="3"/>
  <c r="O3143" i="3" s="1"/>
  <c r="O3146" i="3"/>
  <c r="O3145" i="3" s="1"/>
  <c r="O3126" i="3"/>
  <c r="O3125" i="3" s="1"/>
  <c r="O3124" i="3"/>
  <c r="O3123" i="3" s="1"/>
  <c r="O3121" i="3"/>
  <c r="O3120" i="3" s="1"/>
  <c r="O3119" i="3"/>
  <c r="O3118" i="3" s="1"/>
  <c r="O3117" i="3"/>
  <c r="O3116" i="3" s="1"/>
  <c r="O5152" i="3"/>
  <c r="N5151" i="3"/>
  <c r="O5151" i="3" s="1"/>
  <c r="N5150" i="3"/>
  <c r="O5150" i="3" s="1"/>
  <c r="O5148" i="3"/>
  <c r="N5147" i="3"/>
  <c r="O5147" i="3" s="1"/>
  <c r="K5146" i="3"/>
  <c r="O5146" i="3" s="1"/>
  <c r="O5145" i="3"/>
  <c r="O5144" i="3"/>
  <c r="O5142" i="3"/>
  <c r="O5141" i="3" s="1"/>
  <c r="O5140" i="3"/>
  <c r="O5139" i="3" s="1"/>
  <c r="O5138" i="3"/>
  <c r="O5137" i="3" s="1"/>
  <c r="O5136" i="3"/>
  <c r="O5134" i="3"/>
  <c r="O5133" i="3" s="1"/>
  <c r="O5132" i="3"/>
  <c r="O5131" i="3" s="1"/>
  <c r="O5172" i="3"/>
  <c r="O5171" i="3" s="1"/>
  <c r="O5170" i="3"/>
  <c r="O5169" i="3" s="1"/>
  <c r="O5168" i="3"/>
  <c r="O5167" i="3" s="1"/>
  <c r="O5166" i="3"/>
  <c r="O5165" i="3" s="1"/>
  <c r="O5164" i="3"/>
  <c r="O5163" i="3" s="1"/>
  <c r="O5162" i="3"/>
  <c r="O5161" i="3" s="1"/>
  <c r="O5160" i="3"/>
  <c r="O5159" i="3" s="1"/>
  <c r="O5158" i="3"/>
  <c r="O5157" i="3" s="1"/>
  <c r="N26" i="3"/>
  <c r="N28" i="3" s="1"/>
  <c r="O25" i="3"/>
  <c r="O3813" i="3"/>
  <c r="O3812" i="3"/>
  <c r="O3811" i="3"/>
  <c r="O3800" i="3"/>
  <c r="O3797" i="3"/>
  <c r="O3792" i="3"/>
  <c r="O5149" i="3" l="1"/>
  <c r="O5135" i="3"/>
  <c r="O5143" i="3"/>
  <c r="O3787" i="3"/>
  <c r="O3783" i="3"/>
  <c r="O3780" i="3"/>
  <c r="O3771" i="3"/>
  <c r="O3763" i="3"/>
  <c r="O3762" i="3"/>
  <c r="O3810" i="3" l="1"/>
  <c r="O3809" i="3"/>
  <c r="O3808" i="3"/>
  <c r="O3796" i="3"/>
  <c r="O3791" i="3"/>
  <c r="O3786" i="3"/>
  <c r="O3767" i="3"/>
  <c r="O3761" i="3"/>
  <c r="O3760" i="3"/>
  <c r="O3807" i="3" l="1"/>
  <c r="O3806" i="3"/>
  <c r="O3805" i="3"/>
  <c r="O3795" i="3"/>
  <c r="O3790" i="3"/>
  <c r="O3766" i="3"/>
  <c r="O3758" i="3"/>
  <c r="O3759" i="3"/>
  <c r="O3803" i="3" l="1"/>
  <c r="O3804" i="3"/>
  <c r="O3802" i="3"/>
  <c r="O3801" i="3" l="1"/>
  <c r="O3799" i="3"/>
  <c r="O3798" i="3" s="1"/>
  <c r="O3794" i="3"/>
  <c r="O3793" i="3" s="1"/>
  <c r="O3789" i="3"/>
  <c r="O3788" i="3" s="1"/>
  <c r="O3785" i="3"/>
  <c r="O3784" i="3" s="1"/>
  <c r="O3782" i="3"/>
  <c r="O3781" i="3" s="1"/>
  <c r="O3779" i="3"/>
  <c r="O3778" i="3" s="1"/>
  <c r="O3777" i="3"/>
  <c r="O3776" i="3" s="1"/>
  <c r="O3775" i="3"/>
  <c r="O3774" i="3" s="1"/>
  <c r="O3773" i="3"/>
  <c r="O3770" i="3"/>
  <c r="O3769" i="3"/>
  <c r="O3765" i="3"/>
  <c r="O3764" i="3" s="1"/>
  <c r="O3757" i="3"/>
  <c r="O3756" i="3"/>
  <c r="O3745" i="3"/>
  <c r="O3691" i="3"/>
  <c r="O3704" i="3"/>
  <c r="O3700" i="3"/>
  <c r="O3731" i="3"/>
  <c r="O3730" i="3"/>
  <c r="O3755" i="3" l="1"/>
  <c r="O3768" i="3"/>
  <c r="O3772" i="3"/>
  <c r="O3690" i="3"/>
  <c r="O3703" i="3"/>
  <c r="O3699" i="3"/>
  <c r="O3729" i="3"/>
  <c r="O3728" i="3"/>
  <c r="N3878" i="3" l="1"/>
  <c r="O3749" i="3"/>
  <c r="O3748" i="3" s="1"/>
  <c r="O3747" i="3"/>
  <c r="O3746" i="3" s="1"/>
  <c r="O3751" i="3"/>
  <c r="O3750" i="3" s="1"/>
  <c r="O3686" i="3"/>
  <c r="O3685" i="3" s="1"/>
  <c r="O3720" i="3"/>
  <c r="O3719" i="3" s="1"/>
  <c r="O3718" i="3"/>
  <c r="O3717" i="3" s="1"/>
  <c r="O3716" i="3"/>
  <c r="O3715" i="3" s="1"/>
  <c r="O3714" i="3"/>
  <c r="O3713" i="3" s="1"/>
  <c r="O3712" i="3"/>
  <c r="O3711" i="3" s="1"/>
  <c r="O3710" i="3"/>
  <c r="O3709" i="3" s="1"/>
  <c r="O3708" i="3"/>
  <c r="O3707" i="3" s="1"/>
  <c r="O3722" i="3" l="1"/>
  <c r="O3721" i="3" s="1"/>
  <c r="O3727" i="3"/>
  <c r="O3689" i="3"/>
  <c r="O3698" i="3"/>
  <c r="O3726" i="3"/>
  <c r="O3744" i="3" l="1"/>
  <c r="O3743" i="3"/>
  <c r="O3742" i="3"/>
  <c r="O3741" i="3"/>
  <c r="O3739" i="3"/>
  <c r="O3738" i="3"/>
  <c r="O3737" i="3"/>
  <c r="O3736" i="3"/>
  <c r="O3684" i="3"/>
  <c r="O3683" i="3"/>
  <c r="O3682" i="3"/>
  <c r="O3681" i="3"/>
  <c r="O3679" i="3"/>
  <c r="O3678" i="3"/>
  <c r="O3677" i="3"/>
  <c r="O3676" i="3"/>
  <c r="O3674" i="3"/>
  <c r="O3673" i="3"/>
  <c r="O3672" i="3"/>
  <c r="O3671" i="3"/>
  <c r="O3667" i="3"/>
  <c r="O3668" i="3"/>
  <c r="O3669" i="3"/>
  <c r="O3662" i="3"/>
  <c r="O3663" i="3"/>
  <c r="O3664" i="3"/>
  <c r="O3658" i="3"/>
  <c r="O3659" i="3"/>
  <c r="O3653" i="3"/>
  <c r="O3654" i="3"/>
  <c r="O3655" i="3"/>
  <c r="O3648" i="3"/>
  <c r="O3649" i="3"/>
  <c r="O3650" i="3"/>
  <c r="O3753" i="3"/>
  <c r="O3752" i="3" s="1"/>
  <c r="O3725" i="3"/>
  <c r="O3724" i="3"/>
  <c r="O3706" i="3"/>
  <c r="O3705" i="3" s="1"/>
  <c r="O3702" i="3"/>
  <c r="O3701" i="3" s="1"/>
  <c r="O3697" i="3"/>
  <c r="O3696" i="3" s="1"/>
  <c r="O3695" i="3"/>
  <c r="O3694" i="3" s="1"/>
  <c r="O3693" i="3"/>
  <c r="O3688" i="3"/>
  <c r="O3687" i="3" s="1"/>
  <c r="O3666" i="3"/>
  <c r="O3661" i="3"/>
  <c r="O3657" i="3"/>
  <c r="O3652" i="3"/>
  <c r="O3647" i="3"/>
  <c r="O3740" i="3" l="1"/>
  <c r="O3735" i="3"/>
  <c r="O3723" i="3"/>
  <c r="O3646" i="3"/>
  <c r="O3670" i="3"/>
  <c r="O3680" i="3"/>
  <c r="O3651" i="3"/>
  <c r="O3692" i="3"/>
  <c r="O3656" i="3"/>
  <c r="O3660" i="3"/>
  <c r="O3675" i="3"/>
  <c r="O3665" i="3"/>
  <c r="N3734" i="3" l="1"/>
  <c r="O3734" i="3" s="1"/>
  <c r="N3733" i="3"/>
  <c r="O3733" i="3" s="1"/>
  <c r="O3732" i="3" l="1"/>
  <c r="O3377" i="3"/>
  <c r="O3376" i="3"/>
  <c r="O3374" i="3"/>
  <c r="O3373" i="3" s="1"/>
  <c r="O3372" i="3"/>
  <c r="O3371" i="3" s="1"/>
  <c r="O3370" i="3"/>
  <c r="O3369" i="3" s="1"/>
  <c r="O3368" i="3"/>
  <c r="O3367" i="3" s="1"/>
  <c r="O3366" i="3"/>
  <c r="O3365" i="3" s="1"/>
  <c r="O3364" i="3"/>
  <c r="O3363" i="3" s="1"/>
  <c r="O3362" i="3"/>
  <c r="O3360" i="3"/>
  <c r="O3359" i="3" s="1"/>
  <c r="O3358" i="3"/>
  <c r="O3357" i="3" s="1"/>
  <c r="O3356" i="3"/>
  <c r="O3375" i="3" l="1"/>
  <c r="O3355" i="3"/>
  <c r="O3361" i="3"/>
  <c r="O3353" i="3"/>
  <c r="O3352" i="3" s="1"/>
  <c r="O3351" i="3"/>
  <c r="O3350" i="3" s="1"/>
  <c r="N3349" i="3" s="1"/>
  <c r="O3346" i="3"/>
  <c r="O3345" i="3" s="1"/>
  <c r="O3344" i="3"/>
  <c r="O3343" i="3" s="1"/>
  <c r="O3342" i="3"/>
  <c r="O3341" i="3" s="1"/>
  <c r="O3340" i="3"/>
  <c r="O3339" i="3" s="1"/>
  <c r="O3338" i="3"/>
  <c r="O3337" i="3" s="1"/>
  <c r="O3336" i="3"/>
  <c r="O3335" i="3" s="1"/>
  <c r="O3334" i="3"/>
  <c r="O3333" i="3" s="1"/>
  <c r="N3348" i="3" s="1"/>
  <c r="O3332" i="3"/>
  <c r="O3331" i="3" s="1"/>
  <c r="O3348" i="3" l="1"/>
  <c r="O3349" i="3"/>
  <c r="O3347" i="3" l="1"/>
  <c r="O2723" i="3" l="1"/>
  <c r="O2724" i="3"/>
  <c r="O2720" i="3" l="1"/>
  <c r="O2719" i="3" s="1"/>
  <c r="O2718" i="3"/>
  <c r="O2717" i="3" s="1"/>
  <c r="O2716" i="3"/>
  <c r="O2715" i="3" s="1"/>
  <c r="O2714" i="3"/>
  <c r="O2713" i="3" s="1"/>
  <c r="O2712" i="3"/>
  <c r="O2711" i="3" s="1"/>
  <c r="O2710" i="3"/>
  <c r="O2709" i="3" s="1"/>
  <c r="O2708" i="3"/>
  <c r="O2707" i="3" s="1"/>
  <c r="O2706" i="3"/>
  <c r="O2705" i="3" s="1"/>
  <c r="O2704" i="3"/>
  <c r="O2703" i="3" s="1"/>
  <c r="O2702" i="3"/>
  <c r="O2701" i="3" s="1"/>
  <c r="O2700" i="3"/>
  <c r="O2699" i="3"/>
  <c r="O2697" i="3"/>
  <c r="O2696" i="3"/>
  <c r="O2694" i="3"/>
  <c r="O2693" i="3"/>
  <c r="O2691" i="3"/>
  <c r="O2690" i="3"/>
  <c r="O2688" i="3"/>
  <c r="O2687" i="3" s="1"/>
  <c r="O2686" i="3"/>
  <c r="O2685" i="3" s="1"/>
  <c r="O2684" i="3"/>
  <c r="O2683" i="3"/>
  <c r="O2680" i="3"/>
  <c r="O2807" i="3"/>
  <c r="O2806" i="3" s="1"/>
  <c r="O2689" i="3" l="1"/>
  <c r="O2698" i="3"/>
  <c r="O2695" i="3"/>
  <c r="O2682" i="3"/>
  <c r="O2692" i="3"/>
  <c r="O2671" i="3" l="1"/>
  <c r="O2679" i="3"/>
  <c r="O2678" i="3"/>
  <c r="O2677" i="3" s="1"/>
  <c r="O2676" i="3"/>
  <c r="O2675" i="3" s="1"/>
  <c r="O2670" i="3"/>
  <c r="O2668" i="3"/>
  <c r="O2667" i="3" s="1"/>
  <c r="O2666" i="3"/>
  <c r="O2665" i="3" s="1"/>
  <c r="O2664" i="3"/>
  <c r="O2663" i="3" s="1"/>
  <c r="O2662" i="3"/>
  <c r="O2661" i="3" s="1"/>
  <c r="O2660" i="3"/>
  <c r="O2659" i="3" s="1"/>
  <c r="O2658" i="3"/>
  <c r="O2657" i="3" s="1"/>
  <c r="O2656" i="3"/>
  <c r="O2655" i="3"/>
  <c r="O2653" i="3"/>
  <c r="O2652" i="3" s="1"/>
  <c r="O2651" i="3"/>
  <c r="O2650" i="3" s="1"/>
  <c r="O2649" i="3"/>
  <c r="O2648" i="3" s="1"/>
  <c r="O2647" i="3"/>
  <c r="O2646" i="3" s="1"/>
  <c r="O2645" i="3"/>
  <c r="O2644" i="3" s="1"/>
  <c r="O2643" i="3"/>
  <c r="O2642" i="3" s="1"/>
  <c r="O2641" i="3"/>
  <c r="O2640" i="3" s="1"/>
  <c r="O2639" i="3"/>
  <c r="O2638" i="3" s="1"/>
  <c r="O2637" i="3"/>
  <c r="O2636" i="3" s="1"/>
  <c r="O2669" i="3" l="1"/>
  <c r="N2674" i="3"/>
  <c r="O2674" i="3" s="1"/>
  <c r="N2673" i="3"/>
  <c r="O2673" i="3" s="1"/>
  <c r="O2654" i="3"/>
  <c r="O2672" i="3" l="1"/>
  <c r="O2464" i="3" l="1"/>
  <c r="O2463" i="3" s="1"/>
  <c r="O2462" i="3"/>
  <c r="O2461" i="3" s="1"/>
  <c r="O2460" i="3"/>
  <c r="O2459" i="3" s="1"/>
  <c r="O2456" i="3"/>
  <c r="O2455" i="3" s="1"/>
  <c r="O2454" i="3"/>
  <c r="O2453" i="3" s="1"/>
  <c r="O2452" i="3"/>
  <c r="O2451" i="3" s="1"/>
  <c r="O2450" i="3"/>
  <c r="O2449" i="3" s="1"/>
  <c r="O2448" i="3"/>
  <c r="O2447" i="3" s="1"/>
  <c r="O2446" i="3"/>
  <c r="O2445" i="3" s="1"/>
  <c r="O2925" i="3"/>
  <c r="O2924" i="3"/>
  <c r="O3989" i="3"/>
  <c r="O3988" i="3" s="1"/>
  <c r="O3987" i="3"/>
  <c r="O3986" i="3" s="1"/>
  <c r="O3985" i="3"/>
  <c r="O3984" i="3"/>
  <c r="O3983" i="3"/>
  <c r="O3981" i="3"/>
  <c r="O3980" i="3" s="1"/>
  <c r="O3979" i="3"/>
  <c r="O3978" i="3" s="1"/>
  <c r="O3977" i="3"/>
  <c r="O3976" i="3" s="1"/>
  <c r="O3975" i="3"/>
  <c r="O3974" i="3" s="1"/>
  <c r="O2158" i="3"/>
  <c r="O2157" i="3" s="1"/>
  <c r="O2140" i="3"/>
  <c r="O2139" i="3"/>
  <c r="O2150" i="3"/>
  <c r="O2149" i="3"/>
  <c r="O2148" i="3"/>
  <c r="O2147" i="3"/>
  <c r="C2137" i="3"/>
  <c r="E2137" i="3" s="1"/>
  <c r="O2138" i="3"/>
  <c r="O2160" i="3"/>
  <c r="O2159" i="3" s="1"/>
  <c r="O2156" i="3"/>
  <c r="O2155" i="3" s="1"/>
  <c r="O4239" i="3"/>
  <c r="O4238" i="3" s="1"/>
  <c r="O4237" i="3"/>
  <c r="O4236" i="3" s="1"/>
  <c r="O4241" i="3"/>
  <c r="O4240" i="3" s="1"/>
  <c r="N3180" i="3"/>
  <c r="N1499" i="3"/>
  <c r="N1497" i="3"/>
  <c r="N1495" i="3"/>
  <c r="N1493" i="3"/>
  <c r="N1491" i="3"/>
  <c r="K298" i="3"/>
  <c r="O4224" i="3"/>
  <c r="O4223" i="3" s="1"/>
  <c r="O4222" i="3"/>
  <c r="O4221" i="3" s="1"/>
  <c r="N4216" i="3"/>
  <c r="N4214" i="3"/>
  <c r="O3982" i="3" l="1"/>
  <c r="O2137" i="3"/>
  <c r="N4170" i="3"/>
  <c r="N4147" i="3"/>
  <c r="N4145" i="3"/>
  <c r="O3528" i="3" l="1"/>
  <c r="O3527" i="3" s="1"/>
  <c r="O3526" i="3"/>
  <c r="O3525" i="3" s="1"/>
  <c r="O3522" i="3"/>
  <c r="O3521" i="3" s="1"/>
  <c r="O3520" i="3"/>
  <c r="O3519" i="3" s="1"/>
  <c r="O3518" i="3"/>
  <c r="O3517" i="3" s="1"/>
  <c r="O4299" i="3"/>
  <c r="O4298" i="3" s="1"/>
  <c r="O4297" i="3"/>
  <c r="O4296" i="3" s="1"/>
  <c r="O4295" i="3"/>
  <c r="O4294" i="3" s="1"/>
  <c r="O4293" i="3"/>
  <c r="O4292" i="3" s="1"/>
  <c r="O4289" i="3"/>
  <c r="O4288" i="3" s="1"/>
  <c r="O4287" i="3"/>
  <c r="O4286" i="3" s="1"/>
  <c r="O3310" i="3"/>
  <c r="O3309" i="3" s="1"/>
  <c r="C3309" i="3" l="1"/>
  <c r="E3309" i="3" s="1"/>
  <c r="O2356" i="3" l="1"/>
  <c r="O17" i="3"/>
  <c r="O20" i="3"/>
  <c r="O1151" i="3" l="1"/>
  <c r="O1150" i="3"/>
  <c r="O1149" i="3"/>
  <c r="O1148" i="3"/>
  <c r="O1147" i="3"/>
  <c r="O1146" i="3"/>
  <c r="O1145" i="3"/>
  <c r="O1144" i="3"/>
  <c r="O1143" i="3"/>
  <c r="O1142" i="3"/>
  <c r="L1141" i="3"/>
  <c r="O1141" i="3" s="1"/>
  <c r="O1140" i="3"/>
  <c r="O1139" i="3"/>
  <c r="N3967" i="3"/>
  <c r="O3967" i="3" s="1"/>
  <c r="H3967" i="3"/>
  <c r="O3966" i="3"/>
  <c r="N3965" i="3"/>
  <c r="O3965" i="3" s="1"/>
  <c r="H3965" i="3"/>
  <c r="O3964" i="3"/>
  <c r="N3963" i="3"/>
  <c r="O3963" i="3" s="1"/>
  <c r="H3963" i="3"/>
  <c r="O3962" i="3"/>
  <c r="N3961" i="3"/>
  <c r="O3961" i="3" s="1"/>
  <c r="H3961" i="3"/>
  <c r="O3960" i="3"/>
  <c r="O4023" i="3"/>
  <c r="O4022" i="3"/>
  <c r="O4021" i="3"/>
  <c r="O4019" i="3"/>
  <c r="O4018" i="3"/>
  <c r="O4017" i="3"/>
  <c r="O4015" i="3"/>
  <c r="O4014" i="3"/>
  <c r="O4013" i="3"/>
  <c r="N4011" i="3"/>
  <c r="O4011" i="3" s="1"/>
  <c r="H4011" i="3"/>
  <c r="O4010" i="3"/>
  <c r="N4009" i="3"/>
  <c r="O4009" i="3" s="1"/>
  <c r="H4009" i="3"/>
  <c r="K4008" i="3"/>
  <c r="O4008" i="3" s="1"/>
  <c r="N4007" i="3"/>
  <c r="O4007" i="3" s="1"/>
  <c r="H4007" i="3"/>
  <c r="O4006" i="3"/>
  <c r="N4004" i="3"/>
  <c r="O4004" i="3" s="1"/>
  <c r="H4004" i="3"/>
  <c r="O4003" i="3"/>
  <c r="N4002" i="3"/>
  <c r="O4002" i="3" s="1"/>
  <c r="H4002" i="3"/>
  <c r="K4001" i="3"/>
  <c r="O4001" i="3" s="1"/>
  <c r="N4000" i="3"/>
  <c r="O4000" i="3" s="1"/>
  <c r="H4000" i="3"/>
  <c r="O3999" i="3"/>
  <c r="N3997" i="3"/>
  <c r="O3997" i="3" s="1"/>
  <c r="N3995" i="3"/>
  <c r="N3993" i="3"/>
  <c r="K3994" i="3"/>
  <c r="H3997" i="3"/>
  <c r="N3435" i="3"/>
  <c r="N3958" i="3"/>
  <c r="K3957" i="3"/>
  <c r="N3953" i="3"/>
  <c r="O3953" i="3" s="1"/>
  <c r="H3953" i="3"/>
  <c r="O3952" i="3"/>
  <c r="N3951" i="3"/>
  <c r="O3951" i="3" s="1"/>
  <c r="H3951" i="3"/>
  <c r="O3950" i="3"/>
  <c r="N3949" i="3"/>
  <c r="O3949" i="3" s="1"/>
  <c r="H3949" i="3"/>
  <c r="O3948" i="3"/>
  <c r="N3947" i="3"/>
  <c r="O3947" i="3" s="1"/>
  <c r="H3947" i="3"/>
  <c r="O3946" i="3"/>
  <c r="N3944" i="3"/>
  <c r="O3944" i="3" s="1"/>
  <c r="H3944" i="3"/>
  <c r="O3943" i="3"/>
  <c r="N3942" i="3"/>
  <c r="O3942" i="3" s="1"/>
  <c r="H3942" i="3"/>
  <c r="K3941" i="3"/>
  <c r="O3941" i="3" s="1"/>
  <c r="O3940" i="3"/>
  <c r="H3940" i="3"/>
  <c r="O3939" i="3"/>
  <c r="O3938" i="3"/>
  <c r="H3938" i="3"/>
  <c r="O3937" i="3"/>
  <c r="N3936" i="3"/>
  <c r="O3936" i="3" s="1"/>
  <c r="H3936" i="3"/>
  <c r="O3935" i="3"/>
  <c r="N3934" i="3"/>
  <c r="O3934" i="3" s="1"/>
  <c r="H3934" i="3"/>
  <c r="O3933" i="3"/>
  <c r="N3931" i="3"/>
  <c r="O3931" i="3" s="1"/>
  <c r="H3931" i="3"/>
  <c r="N3929" i="3"/>
  <c r="H3929" i="3"/>
  <c r="N3927" i="3"/>
  <c r="N3925" i="3"/>
  <c r="O3925" i="3" s="1"/>
  <c r="H3925" i="3"/>
  <c r="N3922" i="3"/>
  <c r="N3920" i="3"/>
  <c r="N3914" i="3"/>
  <c r="N3912" i="3"/>
  <c r="H3922" i="3"/>
  <c r="K3919" i="3"/>
  <c r="H3920" i="3"/>
  <c r="H3918" i="3"/>
  <c r="O3906" i="3"/>
  <c r="O3905" i="3"/>
  <c r="N3902" i="3"/>
  <c r="O3902" i="3" s="1"/>
  <c r="O3899" i="3"/>
  <c r="N3898" i="3"/>
  <c r="O3898" i="3" s="1"/>
  <c r="N3897" i="3"/>
  <c r="O3897" i="3" s="1"/>
  <c r="O3896" i="3"/>
  <c r="O3894" i="3"/>
  <c r="N3893" i="3"/>
  <c r="O3893" i="3" s="1"/>
  <c r="N3892" i="3"/>
  <c r="O3892" i="3" s="1"/>
  <c r="O3891" i="3"/>
  <c r="O3889" i="3"/>
  <c r="N3888" i="3"/>
  <c r="O3888" i="3" s="1"/>
  <c r="N3887" i="3"/>
  <c r="O3887" i="3" s="1"/>
  <c r="O3886" i="3"/>
  <c r="N3883" i="3"/>
  <c r="O3883" i="3" s="1"/>
  <c r="N3882" i="3"/>
  <c r="O3882" i="3" s="1"/>
  <c r="O3884" i="3"/>
  <c r="O3873" i="3"/>
  <c r="O3872" i="3"/>
  <c r="O3871" i="3"/>
  <c r="O3870" i="3"/>
  <c r="K3861" i="3"/>
  <c r="O3861" i="3" s="1"/>
  <c r="K3865" i="3"/>
  <c r="O3865" i="3" s="1"/>
  <c r="O3867" i="3"/>
  <c r="O3863" i="3"/>
  <c r="N3868" i="3"/>
  <c r="O3868" i="3" s="1"/>
  <c r="H3868" i="3"/>
  <c r="N3866" i="3"/>
  <c r="O3866" i="3" s="1"/>
  <c r="H3866" i="3"/>
  <c r="N3864" i="3"/>
  <c r="O3864" i="3" s="1"/>
  <c r="H3864" i="3"/>
  <c r="N3862" i="3"/>
  <c r="O3862" i="3" s="1"/>
  <c r="H3862" i="3"/>
  <c r="O3860" i="3"/>
  <c r="O3859" i="3"/>
  <c r="N3858" i="3"/>
  <c r="O3858" i="3" s="1"/>
  <c r="O3857" i="3"/>
  <c r="O3856" i="3"/>
  <c r="O3855" i="3"/>
  <c r="O3854" i="3"/>
  <c r="O3853" i="3"/>
  <c r="N3849" i="3"/>
  <c r="K3841" i="3"/>
  <c r="O3841" i="3" s="1"/>
  <c r="K3840" i="3"/>
  <c r="O3840" i="3" s="1"/>
  <c r="K3838" i="3"/>
  <c r="O3838" i="3" s="1"/>
  <c r="K3836" i="3"/>
  <c r="K3833" i="3"/>
  <c r="O3833" i="3" s="1"/>
  <c r="K3835" i="3"/>
  <c r="O3835" i="3" s="1"/>
  <c r="K3832" i="3"/>
  <c r="K3829" i="3"/>
  <c r="N3827" i="3"/>
  <c r="K3826" i="3"/>
  <c r="K3824" i="3"/>
  <c r="H3825" i="3"/>
  <c r="N3823" i="3"/>
  <c r="H3823" i="3"/>
  <c r="K3822" i="3"/>
  <c r="N3821" i="3"/>
  <c r="O3821" i="3" s="1"/>
  <c r="N3819" i="3"/>
  <c r="N3817" i="3"/>
  <c r="K3820" i="3"/>
  <c r="O3820" i="3" s="1"/>
  <c r="H3817" i="3"/>
  <c r="H3819" i="3"/>
  <c r="H3821" i="3"/>
  <c r="K3818" i="3"/>
  <c r="K3816" i="3"/>
  <c r="N3432" i="3"/>
  <c r="O3432" i="3" s="1"/>
  <c r="H3432" i="3"/>
  <c r="O3431" i="3"/>
  <c r="N3429" i="3"/>
  <c r="O3429" i="3" s="1"/>
  <c r="H3429" i="3"/>
  <c r="O3428" i="3"/>
  <c r="N3426" i="3"/>
  <c r="N3423" i="3"/>
  <c r="O3406" i="3"/>
  <c r="O3402" i="3"/>
  <c r="O3401" i="3"/>
  <c r="O3400" i="3"/>
  <c r="O3399" i="3"/>
  <c r="O3398" i="3"/>
  <c r="O3397" i="3"/>
  <c r="O3396" i="3"/>
  <c r="O3395" i="3"/>
  <c r="N3381" i="3"/>
  <c r="O2965" i="3"/>
  <c r="O2964" i="3"/>
  <c r="O2963" i="3"/>
  <c r="N2962" i="3"/>
  <c r="O2962" i="3" s="1"/>
  <c r="O2961" i="3"/>
  <c r="O2960" i="3"/>
  <c r="O2959" i="3"/>
  <c r="O2957" i="3"/>
  <c r="O2956" i="3"/>
  <c r="O2955" i="3"/>
  <c r="N2954" i="3"/>
  <c r="O2954" i="3" s="1"/>
  <c r="O2953" i="3"/>
  <c r="O2952" i="3"/>
  <c r="O2951" i="3"/>
  <c r="O2949" i="3"/>
  <c r="O2948" i="3"/>
  <c r="O2947" i="3"/>
  <c r="N2946" i="3"/>
  <c r="O2946" i="3" s="1"/>
  <c r="O2945" i="3"/>
  <c r="O2944" i="3"/>
  <c r="O2943" i="3"/>
  <c r="K2909" i="3"/>
  <c r="O2909" i="3" s="1"/>
  <c r="H2909" i="3"/>
  <c r="O2908" i="3"/>
  <c r="K2941" i="3"/>
  <c r="O2941" i="3" s="1"/>
  <c r="H2941" i="3"/>
  <c r="O2940" i="3"/>
  <c r="K2938" i="3"/>
  <c r="O2938" i="3" s="1"/>
  <c r="H2938" i="3"/>
  <c r="O2937" i="3"/>
  <c r="K2935" i="3"/>
  <c r="O2935" i="3" s="1"/>
  <c r="H2935" i="3"/>
  <c r="O2934" i="3"/>
  <c r="O2918" i="3"/>
  <c r="O2917" i="3"/>
  <c r="O2916" i="3"/>
  <c r="N2915" i="3"/>
  <c r="O2915" i="3" s="1"/>
  <c r="O2914" i="3"/>
  <c r="O2913" i="3"/>
  <c r="O2912" i="3"/>
  <c r="K2907" i="3"/>
  <c r="O2907" i="3" s="1"/>
  <c r="H2907" i="3"/>
  <c r="O2906" i="3"/>
  <c r="K2905" i="3"/>
  <c r="O2905" i="3" s="1"/>
  <c r="H2905" i="3"/>
  <c r="O2904" i="3"/>
  <c r="K2903" i="3"/>
  <c r="O2903" i="3" s="1"/>
  <c r="H2903" i="3"/>
  <c r="O2902" i="3"/>
  <c r="O2900" i="3"/>
  <c r="H2900" i="3"/>
  <c r="O2899" i="3"/>
  <c r="O2898" i="3"/>
  <c r="H2898" i="3"/>
  <c r="O2897" i="3"/>
  <c r="O2896" i="3"/>
  <c r="H2896" i="3"/>
  <c r="O2895" i="3"/>
  <c r="O2893" i="3"/>
  <c r="O2892" i="3"/>
  <c r="K2890" i="3"/>
  <c r="O2890" i="3" s="1"/>
  <c r="H2890" i="3"/>
  <c r="O2889" i="3"/>
  <c r="K2888" i="3"/>
  <c r="O2888" i="3" s="1"/>
  <c r="H2888" i="3"/>
  <c r="O2887" i="3"/>
  <c r="K2886" i="3"/>
  <c r="O2886" i="3" s="1"/>
  <c r="H2886" i="3"/>
  <c r="O2885" i="3"/>
  <c r="K2884" i="3"/>
  <c r="O2884" i="3" s="1"/>
  <c r="H2884" i="3"/>
  <c r="O2883" i="3"/>
  <c r="O2882" i="3"/>
  <c r="H2882" i="3"/>
  <c r="O2881" i="3"/>
  <c r="O2880" i="3"/>
  <c r="H2880" i="3"/>
  <c r="O2879" i="3"/>
  <c r="O2878" i="3"/>
  <c r="H2878" i="3"/>
  <c r="O2877" i="3"/>
  <c r="K2870" i="3"/>
  <c r="O2870" i="3" s="1"/>
  <c r="K2872" i="3"/>
  <c r="O2872" i="3" s="1"/>
  <c r="K2868" i="3"/>
  <c r="O2868" i="3" s="1"/>
  <c r="H2872" i="3"/>
  <c r="O2871" i="3"/>
  <c r="H2870" i="3"/>
  <c r="O2869" i="3"/>
  <c r="H2868" i="3"/>
  <c r="O2867" i="3"/>
  <c r="K2866" i="3"/>
  <c r="O2866" i="3" s="1"/>
  <c r="H2866" i="3"/>
  <c r="O2865" i="3"/>
  <c r="O2864" i="3"/>
  <c r="H2864" i="3"/>
  <c r="O2863" i="3"/>
  <c r="O2862" i="3"/>
  <c r="H2862" i="3"/>
  <c r="O2861" i="3"/>
  <c r="O2860" i="3"/>
  <c r="H2860" i="3"/>
  <c r="O2859" i="3"/>
  <c r="O2850" i="3"/>
  <c r="O2849" i="3"/>
  <c r="O2848" i="3"/>
  <c r="N2847" i="3"/>
  <c r="O2847" i="3" s="1"/>
  <c r="O2845" i="3"/>
  <c r="O2844" i="3"/>
  <c r="O2842" i="3"/>
  <c r="O2840" i="3"/>
  <c r="O2839" i="3"/>
  <c r="O2838" i="3"/>
  <c r="N2837" i="3"/>
  <c r="O2837" i="3" s="1"/>
  <c r="O2836" i="3"/>
  <c r="O2835" i="3"/>
  <c r="O2834" i="3"/>
  <c r="O2832" i="3"/>
  <c r="O2831" i="3"/>
  <c r="O2830" i="3"/>
  <c r="N2829" i="3"/>
  <c r="O2829" i="3" s="1"/>
  <c r="O2828" i="3"/>
  <c r="O2827" i="3"/>
  <c r="O2826" i="3"/>
  <c r="O2824" i="3"/>
  <c r="O2823" i="3"/>
  <c r="O2822" i="3"/>
  <c r="N2821" i="3"/>
  <c r="O2821" i="3" s="1"/>
  <c r="O2820" i="3"/>
  <c r="O2819" i="3"/>
  <c r="O2818" i="3"/>
  <c r="O2816" i="3"/>
  <c r="O2815" i="3"/>
  <c r="O2814" i="3"/>
  <c r="N2813" i="3"/>
  <c r="O2813" i="3" s="1"/>
  <c r="O2812" i="3"/>
  <c r="O2811" i="3"/>
  <c r="O2810" i="3"/>
  <c r="O2805" i="3"/>
  <c r="K2801" i="3"/>
  <c r="K2803" i="3"/>
  <c r="K2799" i="3"/>
  <c r="K2797" i="3"/>
  <c r="O2789" i="3"/>
  <c r="O2788" i="3"/>
  <c r="O2787" i="3"/>
  <c r="N2786" i="3"/>
  <c r="O2786" i="3" s="1"/>
  <c r="O2785" i="3"/>
  <c r="O2784" i="3"/>
  <c r="O2783" i="3"/>
  <c r="O2782" i="3"/>
  <c r="N2777" i="3"/>
  <c r="K2754" i="3"/>
  <c r="O2754" i="3" s="1"/>
  <c r="K2757" i="3"/>
  <c r="O2757" i="3" s="1"/>
  <c r="K2756" i="3"/>
  <c r="O2756" i="3" s="1"/>
  <c r="K2752" i="3"/>
  <c r="O2752" i="3" s="1"/>
  <c r="K2751" i="3"/>
  <c r="O2751" i="3" s="1"/>
  <c r="K2747" i="3"/>
  <c r="O2747" i="3" s="1"/>
  <c r="K2750" i="3"/>
  <c r="K2749" i="3"/>
  <c r="K2746" i="3"/>
  <c r="O2746" i="3" s="1"/>
  <c r="O2745" i="3" s="1"/>
  <c r="K2741" i="3"/>
  <c r="K2739" i="3"/>
  <c r="K2735" i="3"/>
  <c r="K2731" i="3"/>
  <c r="K2729" i="3"/>
  <c r="K2727" i="3"/>
  <c r="O2133" i="3"/>
  <c r="N2132" i="3"/>
  <c r="O2132" i="3" s="1"/>
  <c r="O2131" i="3"/>
  <c r="O2130" i="3"/>
  <c r="N2129" i="3"/>
  <c r="O2129" i="3" s="1"/>
  <c r="O2128" i="3"/>
  <c r="N2127" i="3"/>
  <c r="O2127" i="3" s="1"/>
  <c r="O2126" i="3"/>
  <c r="O2125" i="3"/>
  <c r="O2124" i="3"/>
  <c r="O2123" i="3"/>
  <c r="N2122" i="3"/>
  <c r="O2122" i="3" s="1"/>
  <c r="O2121" i="3"/>
  <c r="O2114" i="3"/>
  <c r="H2114" i="3"/>
  <c r="N2113" i="3"/>
  <c r="O2113" i="3" s="1"/>
  <c r="N2111" i="3"/>
  <c r="O2111" i="3" s="1"/>
  <c r="H2111" i="3"/>
  <c r="O2110" i="3"/>
  <c r="O2109" i="3"/>
  <c r="H2109" i="3"/>
  <c r="O2108" i="3"/>
  <c r="N2107" i="3"/>
  <c r="O2107" i="3" s="1"/>
  <c r="H2107" i="3"/>
  <c r="K2106" i="3"/>
  <c r="O2106" i="3" s="1"/>
  <c r="N2105" i="3"/>
  <c r="O2105" i="3" s="1"/>
  <c r="H2105" i="3"/>
  <c r="O2104" i="3"/>
  <c r="N2103" i="3"/>
  <c r="O2103" i="3" s="1"/>
  <c r="H2103" i="3"/>
  <c r="O2102" i="3"/>
  <c r="N2101" i="3"/>
  <c r="O2101" i="3" s="1"/>
  <c r="H2101" i="3"/>
  <c r="K2100" i="3"/>
  <c r="O2100" i="3" s="1"/>
  <c r="O2099" i="3"/>
  <c r="H2099" i="3"/>
  <c r="O2098" i="3"/>
  <c r="N2097" i="3"/>
  <c r="O2097" i="3" s="1"/>
  <c r="H2097" i="3"/>
  <c r="K2096" i="3"/>
  <c r="O2096" i="3" s="1"/>
  <c r="N2095" i="3"/>
  <c r="O2095" i="3" s="1"/>
  <c r="H2095" i="3"/>
  <c r="O2094" i="3"/>
  <c r="N2093" i="3"/>
  <c r="O2093" i="3" s="1"/>
  <c r="H2093" i="3"/>
  <c r="O2092" i="3"/>
  <c r="N2091" i="3"/>
  <c r="O2091" i="3" s="1"/>
  <c r="H2091" i="3"/>
  <c r="O2090" i="3"/>
  <c r="N2089" i="3"/>
  <c r="O2089" i="3" s="1"/>
  <c r="H2089" i="3"/>
  <c r="O2088" i="3"/>
  <c r="N2087" i="3"/>
  <c r="O2087" i="3" s="1"/>
  <c r="H2087" i="3"/>
  <c r="O2086" i="3"/>
  <c r="N2085" i="3"/>
  <c r="O2085" i="3" s="1"/>
  <c r="H2085" i="3"/>
  <c r="O2084" i="3"/>
  <c r="O2082" i="3"/>
  <c r="O2081" i="3"/>
  <c r="O2080" i="3"/>
  <c r="O2079" i="3"/>
  <c r="H2079" i="3"/>
  <c r="N2078" i="3"/>
  <c r="O2078" i="3" s="1"/>
  <c r="N2076" i="3"/>
  <c r="O2076" i="3" s="1"/>
  <c r="H2076" i="3"/>
  <c r="O2075" i="3"/>
  <c r="O2074" i="3"/>
  <c r="H2074" i="3"/>
  <c r="O2073" i="3"/>
  <c r="N2072" i="3"/>
  <c r="O2072" i="3" s="1"/>
  <c r="H2072" i="3"/>
  <c r="K2071" i="3"/>
  <c r="O2071" i="3" s="1"/>
  <c r="N2070" i="3"/>
  <c r="O2070" i="3" s="1"/>
  <c r="H2070" i="3"/>
  <c r="O2069" i="3"/>
  <c r="N2068" i="3"/>
  <c r="O2068" i="3" s="1"/>
  <c r="H2068" i="3"/>
  <c r="O2067" i="3"/>
  <c r="N2066" i="3"/>
  <c r="O2066" i="3" s="1"/>
  <c r="H2066" i="3"/>
  <c r="K2065" i="3"/>
  <c r="O2065" i="3" s="1"/>
  <c r="O2064" i="3"/>
  <c r="H2064" i="3"/>
  <c r="O2063" i="3"/>
  <c r="N2062" i="3"/>
  <c r="O2062" i="3" s="1"/>
  <c r="H2062" i="3"/>
  <c r="K2061" i="3"/>
  <c r="O2061" i="3" s="1"/>
  <c r="N2060" i="3"/>
  <c r="O2060" i="3" s="1"/>
  <c r="H2060" i="3"/>
  <c r="O2059" i="3"/>
  <c r="N2058" i="3"/>
  <c r="O2058" i="3" s="1"/>
  <c r="H2058" i="3"/>
  <c r="O2057" i="3"/>
  <c r="N2056" i="3"/>
  <c r="O2056" i="3" s="1"/>
  <c r="H2056" i="3"/>
  <c r="O2055" i="3"/>
  <c r="N2054" i="3"/>
  <c r="O2054" i="3" s="1"/>
  <c r="H2054" i="3"/>
  <c r="O2053" i="3"/>
  <c r="N2052" i="3"/>
  <c r="O2052" i="3" s="1"/>
  <c r="H2052" i="3"/>
  <c r="O2051" i="3"/>
  <c r="N2050" i="3"/>
  <c r="O2050" i="3" s="1"/>
  <c r="H2050" i="3"/>
  <c r="O2049" i="3"/>
  <c r="N2043" i="3"/>
  <c r="N2041" i="3"/>
  <c r="O2041" i="3" s="1"/>
  <c r="H2041" i="3"/>
  <c r="O2039" i="3"/>
  <c r="H2039" i="3"/>
  <c r="N2037" i="3"/>
  <c r="O2037" i="3" s="1"/>
  <c r="H2037" i="3"/>
  <c r="N2035" i="3"/>
  <c r="O2035" i="3" s="1"/>
  <c r="H2035" i="3"/>
  <c r="N2033" i="3"/>
  <c r="O2033" i="3" s="1"/>
  <c r="H2033" i="3"/>
  <c r="N2031" i="3"/>
  <c r="O2031" i="3" s="1"/>
  <c r="H2031" i="3"/>
  <c r="O2029" i="3"/>
  <c r="H2029" i="3"/>
  <c r="N2027" i="3"/>
  <c r="O2027" i="3" s="1"/>
  <c r="H2027" i="3"/>
  <c r="N2025" i="3"/>
  <c r="O2025" i="3" s="1"/>
  <c r="H2025" i="3"/>
  <c r="N2023" i="3"/>
  <c r="O2023" i="3" s="1"/>
  <c r="H2023" i="3"/>
  <c r="N2021" i="3"/>
  <c r="O2021" i="3" s="1"/>
  <c r="H2021" i="3"/>
  <c r="N2019" i="3"/>
  <c r="O2019" i="3" s="1"/>
  <c r="H2019" i="3"/>
  <c r="N2017" i="3"/>
  <c r="O2017" i="3" s="1"/>
  <c r="H2017" i="3"/>
  <c r="N2015" i="3"/>
  <c r="O2015" i="3" s="1"/>
  <c r="H2015" i="3"/>
  <c r="O2047" i="3"/>
  <c r="O2046" i="3"/>
  <c r="O2045" i="3"/>
  <c r="O2040" i="3"/>
  <c r="O2038" i="3"/>
  <c r="K2036" i="3"/>
  <c r="O2036" i="3" s="1"/>
  <c r="O2034" i="3"/>
  <c r="O2032" i="3"/>
  <c r="K2030" i="3"/>
  <c r="O2030" i="3" s="1"/>
  <c r="O2028" i="3"/>
  <c r="K2026" i="3"/>
  <c r="O2026" i="3" s="1"/>
  <c r="O2024" i="3"/>
  <c r="O2022" i="3"/>
  <c r="O2020" i="3"/>
  <c r="O2018" i="3"/>
  <c r="O2016" i="3"/>
  <c r="O2014" i="3"/>
  <c r="N2001" i="3"/>
  <c r="O2001" i="3" s="1"/>
  <c r="N2009" i="3"/>
  <c r="N2000" i="3"/>
  <c r="O2000" i="3" s="1"/>
  <c r="O1999" i="3"/>
  <c r="O1998" i="3"/>
  <c r="N1997" i="3"/>
  <c r="O1997" i="3" s="1"/>
  <c r="O1996" i="3"/>
  <c r="O1995" i="3"/>
  <c r="O1994" i="3"/>
  <c r="O1993" i="3"/>
  <c r="O2003" i="3"/>
  <c r="O2002" i="3" s="1"/>
  <c r="O1991" i="3"/>
  <c r="N1990" i="3"/>
  <c r="O1990" i="3" s="1"/>
  <c r="O1988" i="3"/>
  <c r="O1987" i="3"/>
  <c r="O1985" i="3"/>
  <c r="O1984" i="3"/>
  <c r="N1983" i="3"/>
  <c r="O1983" i="3" s="1"/>
  <c r="O1982" i="3"/>
  <c r="O1981" i="3"/>
  <c r="N1980" i="3"/>
  <c r="O1980" i="3" s="1"/>
  <c r="O1979" i="3"/>
  <c r="N1978" i="3"/>
  <c r="O1978" i="3" s="1"/>
  <c r="O1977" i="3"/>
  <c r="O1976" i="3"/>
  <c r="O1975" i="3"/>
  <c r="O1974" i="3"/>
  <c r="N1973" i="3"/>
  <c r="O1973" i="3" s="1"/>
  <c r="O1972" i="3"/>
  <c r="O1971" i="3"/>
  <c r="O1969" i="3"/>
  <c r="O1968" i="3"/>
  <c r="N1967" i="3"/>
  <c r="O1967" i="3" s="1"/>
  <c r="O1966" i="3"/>
  <c r="O1965" i="3"/>
  <c r="N1964" i="3"/>
  <c r="O1964" i="3" s="1"/>
  <c r="O1963" i="3"/>
  <c r="N1962" i="3"/>
  <c r="O1962" i="3" s="1"/>
  <c r="O1961" i="3"/>
  <c r="O1960" i="3"/>
  <c r="O1959" i="3"/>
  <c r="O1958" i="3"/>
  <c r="N1957" i="3"/>
  <c r="O1957" i="3" s="1"/>
  <c r="O1956" i="3"/>
  <c r="O1955" i="3"/>
  <c r="O1953" i="3"/>
  <c r="O1952" i="3"/>
  <c r="N1951" i="3"/>
  <c r="O1951" i="3" s="1"/>
  <c r="O1950" i="3"/>
  <c r="O1949" i="3"/>
  <c r="N1948" i="3"/>
  <c r="O1948" i="3" s="1"/>
  <c r="O1947" i="3"/>
  <c r="N1946" i="3"/>
  <c r="O1946" i="3" s="1"/>
  <c r="O1945" i="3"/>
  <c r="O1944" i="3"/>
  <c r="O1943" i="3"/>
  <c r="O1942" i="3"/>
  <c r="N1941" i="3"/>
  <c r="O1941" i="3" s="1"/>
  <c r="O1940" i="3"/>
  <c r="O1939" i="3"/>
  <c r="O1937" i="3"/>
  <c r="O1936" i="3"/>
  <c r="N1935" i="3"/>
  <c r="O1935" i="3" s="1"/>
  <c r="O1934" i="3"/>
  <c r="O1933" i="3"/>
  <c r="N1932" i="3"/>
  <c r="O1932" i="3" s="1"/>
  <c r="O1931" i="3"/>
  <c r="N1930" i="3"/>
  <c r="O1930" i="3" s="1"/>
  <c r="O1929" i="3"/>
  <c r="O1928" i="3"/>
  <c r="O1927" i="3"/>
  <c r="O1926" i="3"/>
  <c r="N1925" i="3"/>
  <c r="O1925" i="3" s="1"/>
  <c r="O1924" i="3"/>
  <c r="O1917" i="3"/>
  <c r="N1912" i="3"/>
  <c r="N1902" i="3"/>
  <c r="K1907" i="3"/>
  <c r="K1901" i="3"/>
  <c r="K1897" i="3"/>
  <c r="O1884" i="3"/>
  <c r="O1883" i="3"/>
  <c r="N1882" i="3"/>
  <c r="O1882" i="3" s="1"/>
  <c r="O1881" i="3"/>
  <c r="O1880" i="3"/>
  <c r="N1879" i="3"/>
  <c r="O1879" i="3" s="1"/>
  <c r="O1878" i="3"/>
  <c r="N1877" i="3"/>
  <c r="O1877" i="3" s="1"/>
  <c r="O1876" i="3"/>
  <c r="O1875" i="3"/>
  <c r="O1874" i="3"/>
  <c r="O1873" i="3"/>
  <c r="N1872" i="3"/>
  <c r="O1872" i="3" s="1"/>
  <c r="O1871" i="3"/>
  <c r="O1870" i="3"/>
  <c r="N1866" i="3"/>
  <c r="N1863" i="3"/>
  <c r="N1861" i="3"/>
  <c r="N1856" i="3"/>
  <c r="O1854" i="3"/>
  <c r="O330" i="3"/>
  <c r="O331" i="3"/>
  <c r="O332" i="3"/>
  <c r="K1841" i="3"/>
  <c r="O1841" i="3" s="1"/>
  <c r="O1840" i="3" s="1"/>
  <c r="K1838" i="3"/>
  <c r="O1838" i="3" s="1"/>
  <c r="K1837" i="3"/>
  <c r="O1837" i="3" s="1"/>
  <c r="K1836" i="3"/>
  <c r="O1836" i="3" s="1"/>
  <c r="K1835" i="3"/>
  <c r="O1835" i="3" s="1"/>
  <c r="K1834" i="3"/>
  <c r="O1834" i="3" s="1"/>
  <c r="K1833" i="3"/>
  <c r="O1833" i="3" s="1"/>
  <c r="K1832" i="3"/>
  <c r="O1832" i="3" s="1"/>
  <c r="K1831" i="3"/>
  <c r="O1831" i="3" s="1"/>
  <c r="K1829" i="3"/>
  <c r="O1829" i="3" s="1"/>
  <c r="K1828" i="3"/>
  <c r="O1828" i="3" s="1"/>
  <c r="K1826" i="3"/>
  <c r="O1826" i="3" s="1"/>
  <c r="K1825" i="3"/>
  <c r="O1825" i="3" s="1"/>
  <c r="K1824" i="3"/>
  <c r="O1824" i="3" s="1"/>
  <c r="K1823" i="3"/>
  <c r="O1823" i="3" s="1"/>
  <c r="K1822" i="3"/>
  <c r="O1822" i="3" s="1"/>
  <c r="K1821" i="3"/>
  <c r="O1821" i="3" s="1"/>
  <c r="K1820" i="3"/>
  <c r="O1820" i="3" s="1"/>
  <c r="K1819" i="3"/>
  <c r="O1819" i="3" s="1"/>
  <c r="K1815" i="3"/>
  <c r="O1815" i="3" s="1"/>
  <c r="K1814" i="3"/>
  <c r="O1814" i="3" s="1"/>
  <c r="N1790" i="3"/>
  <c r="K1818" i="3"/>
  <c r="O1818" i="3" s="1"/>
  <c r="K1817" i="3"/>
  <c r="O1817" i="3" s="1"/>
  <c r="K1812" i="3"/>
  <c r="O1812" i="3" s="1"/>
  <c r="K1813" i="3"/>
  <c r="O1813" i="3" s="1"/>
  <c r="O1843" i="3"/>
  <c r="N1804" i="3"/>
  <c r="N1800" i="3"/>
  <c r="N1798" i="3"/>
  <c r="N1796" i="3"/>
  <c r="N1794" i="3"/>
  <c r="N1788" i="3"/>
  <c r="N1786" i="3"/>
  <c r="N1784" i="3"/>
  <c r="N1782" i="3"/>
  <c r="N1780" i="3"/>
  <c r="N1778" i="3"/>
  <c r="K1807" i="3"/>
  <c r="K1915" i="3" s="1"/>
  <c r="K1806" i="3"/>
  <c r="O1806" i="3" s="1"/>
  <c r="K1805" i="3"/>
  <c r="K1913" i="3" s="1"/>
  <c r="K1803" i="3"/>
  <c r="K1799" i="3"/>
  <c r="K1789" i="3"/>
  <c r="K1797" i="3"/>
  <c r="K1795" i="3"/>
  <c r="K1793" i="3"/>
  <c r="K1791" i="3"/>
  <c r="O1138" i="3" l="1"/>
  <c r="O3959" i="3"/>
  <c r="O3852" i="3"/>
  <c r="O2901" i="3"/>
  <c r="O2112" i="3"/>
  <c r="O1989" i="3"/>
  <c r="O1992" i="3"/>
  <c r="O1827" i="3"/>
  <c r="O1986" i="3"/>
  <c r="K1914" i="3"/>
  <c r="O1914" i="3" s="1"/>
  <c r="O1830" i="3"/>
  <c r="O1816" i="3"/>
  <c r="O1811" i="3"/>
  <c r="O1842" i="3"/>
  <c r="K1787" i="3"/>
  <c r="K1785" i="3"/>
  <c r="K1783" i="3"/>
  <c r="K1781" i="3"/>
  <c r="K1779" i="3"/>
  <c r="K1777" i="3"/>
  <c r="O1065" i="3"/>
  <c r="O1064" i="3" s="1"/>
  <c r="K1063" i="3"/>
  <c r="O1063" i="3" s="1"/>
  <c r="O1058" i="3"/>
  <c r="O298" i="3"/>
  <c r="O297" i="3" s="1"/>
  <c r="K296" i="3"/>
  <c r="O296" i="3" s="1"/>
  <c r="O295" i="3" s="1"/>
  <c r="N694" i="3"/>
  <c r="N691" i="3"/>
  <c r="N619" i="3"/>
  <c r="O619" i="3" s="1"/>
  <c r="N618" i="3"/>
  <c r="O618" i="3" s="1"/>
  <c r="O403" i="3"/>
  <c r="O402" i="3"/>
  <c r="O350" i="3"/>
  <c r="O349" i="3"/>
  <c r="O348" i="3"/>
  <c r="O347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400" i="3"/>
  <c r="H400" i="3"/>
  <c r="O398" i="3"/>
  <c r="H398" i="3"/>
  <c r="O396" i="3"/>
  <c r="H396" i="3"/>
  <c r="O394" i="3"/>
  <c r="H394" i="3"/>
  <c r="O392" i="3"/>
  <c r="H392" i="3"/>
  <c r="O390" i="3"/>
  <c r="H390" i="3"/>
  <c r="O388" i="3"/>
  <c r="H388" i="3"/>
  <c r="O386" i="3"/>
  <c r="H386" i="3"/>
  <c r="O384" i="3"/>
  <c r="H384" i="3"/>
  <c r="O382" i="3"/>
  <c r="H382" i="3"/>
  <c r="O380" i="3"/>
  <c r="H380" i="3"/>
  <c r="O378" i="3"/>
  <c r="H378" i="3"/>
  <c r="O399" i="3"/>
  <c r="O376" i="3"/>
  <c r="H376" i="3"/>
  <c r="O375" i="3"/>
  <c r="K374" i="3"/>
  <c r="O363" i="3"/>
  <c r="O364" i="3"/>
  <c r="O365" i="3"/>
  <c r="O366" i="3"/>
  <c r="O354" i="3"/>
  <c r="O355" i="3"/>
  <c r="O353" i="3"/>
  <c r="O352" i="3"/>
  <c r="O319" i="3"/>
  <c r="O318" i="3" s="1"/>
  <c r="K317" i="3"/>
  <c r="O317" i="3" s="1"/>
  <c r="O316" i="3"/>
  <c r="O315" i="3"/>
  <c r="K311" i="3"/>
  <c r="O313" i="3"/>
  <c r="O312" i="3" s="1"/>
  <c r="O307" i="3"/>
  <c r="O305" i="3"/>
  <c r="O617" i="3" l="1"/>
  <c r="O1062" i="3"/>
  <c r="O314" i="3"/>
  <c r="K279" i="3"/>
  <c r="O279" i="3" s="1"/>
  <c r="K278" i="3"/>
  <c r="O278" i="3" s="1"/>
  <c r="K277" i="3"/>
  <c r="O277" i="3" s="1"/>
  <c r="K291" i="3"/>
  <c r="O291" i="3" s="1"/>
  <c r="K290" i="3"/>
  <c r="O290" i="3" s="1"/>
  <c r="K289" i="3"/>
  <c r="O289" i="3" s="1"/>
  <c r="K288" i="3"/>
  <c r="O288" i="3" s="1"/>
  <c r="K287" i="3"/>
  <c r="O287" i="3" s="1"/>
  <c r="K286" i="3"/>
  <c r="O286" i="3" s="1"/>
  <c r="K285" i="3"/>
  <c r="O285" i="3" s="1"/>
  <c r="K284" i="3"/>
  <c r="O284" i="3" s="1"/>
  <c r="K283" i="3"/>
  <c r="O283" i="3" s="1"/>
  <c r="K282" i="3"/>
  <c r="O282" i="3" s="1"/>
  <c r="K281" i="3"/>
  <c r="O281" i="3" s="1"/>
  <c r="K275" i="3"/>
  <c r="O275" i="3" s="1"/>
  <c r="K274" i="3"/>
  <c r="O274" i="3" s="1"/>
  <c r="K273" i="3"/>
  <c r="O273" i="3" s="1"/>
  <c r="K272" i="3"/>
  <c r="O272" i="3" s="1"/>
  <c r="K271" i="3"/>
  <c r="O271" i="3" s="1"/>
  <c r="K270" i="3"/>
  <c r="O270" i="3" s="1"/>
  <c r="K269" i="3"/>
  <c r="K268" i="3"/>
  <c r="K267" i="3"/>
  <c r="K266" i="3"/>
  <c r="K265" i="3"/>
  <c r="K263" i="3"/>
  <c r="K262" i="3"/>
  <c r="O262" i="3" s="1"/>
  <c r="K261" i="3"/>
  <c r="O261" i="3" s="1"/>
  <c r="K260" i="3"/>
  <c r="O260" i="3" s="1"/>
  <c r="K257" i="3"/>
  <c r="O257" i="3" s="1"/>
  <c r="K244" i="3"/>
  <c r="K235" i="3"/>
  <c r="K200" i="3"/>
  <c r="K198" i="3"/>
  <c r="K196" i="3"/>
  <c r="O276" i="3" l="1"/>
  <c r="O263" i="3"/>
  <c r="K259" i="3"/>
  <c r="O259" i="3" s="1"/>
  <c r="K258" i="3"/>
  <c r="O258" i="3" s="1"/>
  <c r="N242" i="3" l="1"/>
  <c r="N234" i="3"/>
  <c r="N216" i="3"/>
  <c r="N195" i="3"/>
  <c r="N187" i="3"/>
  <c r="N163" i="3"/>
  <c r="N159" i="3"/>
  <c r="N157" i="3"/>
  <c r="N155" i="3"/>
  <c r="N149" i="3"/>
  <c r="N147" i="3"/>
  <c r="N145" i="3"/>
  <c r="N137" i="3"/>
  <c r="N131" i="3"/>
  <c r="N1164" i="3"/>
  <c r="N1163" i="3"/>
  <c r="O1163" i="3" s="1"/>
  <c r="N1162" i="3"/>
  <c r="O1162" i="3" s="1"/>
  <c r="N1161" i="3"/>
  <c r="O1161" i="3" s="1"/>
  <c r="O1159" i="3" l="1"/>
  <c r="O1158" i="3" s="1"/>
  <c r="O1157" i="3"/>
  <c r="O1156" i="3" s="1"/>
  <c r="O1155" i="3"/>
  <c r="O1154" i="3" s="1"/>
  <c r="O1135" i="3"/>
  <c r="O1134" i="3" s="1"/>
  <c r="N1124" i="3" l="1"/>
  <c r="O1124" i="3" s="1"/>
  <c r="N1123" i="3"/>
  <c r="O1123" i="3" s="1"/>
  <c r="N1122" i="3"/>
  <c r="O1122" i="3" s="1"/>
  <c r="N1121" i="3"/>
  <c r="O1121" i="3" s="1"/>
  <c r="N1120" i="3"/>
  <c r="O1120" i="3" s="1"/>
  <c r="N1108" i="3"/>
  <c r="O1108" i="3" s="1"/>
  <c r="N1109" i="3"/>
  <c r="O1109" i="3" s="1"/>
  <c r="N1110" i="3"/>
  <c r="O1110" i="3" s="1"/>
  <c r="N1111" i="3"/>
  <c r="O1111" i="3" s="1"/>
  <c r="N1112" i="3"/>
  <c r="O1112" i="3" s="1"/>
  <c r="N1113" i="3"/>
  <c r="O1113" i="3" s="1"/>
  <c r="N1114" i="3"/>
  <c r="O1114" i="3" s="1"/>
  <c r="N1115" i="3"/>
  <c r="O1115" i="3" s="1"/>
  <c r="N1116" i="3"/>
  <c r="O1116" i="3" s="1"/>
  <c r="N1117" i="3"/>
  <c r="O1117" i="3" s="1"/>
  <c r="N1118" i="3"/>
  <c r="O1118" i="3" s="1"/>
  <c r="N1119" i="3"/>
  <c r="O1119" i="3" s="1"/>
  <c r="N1107" i="3"/>
  <c r="N1105" i="3"/>
  <c r="O1105" i="3" s="1"/>
  <c r="N1104" i="3"/>
  <c r="O1104" i="3" s="1"/>
  <c r="N1103" i="3"/>
  <c r="O1103" i="3" s="1"/>
  <c r="N1102" i="3"/>
  <c r="O1102" i="3" s="1"/>
  <c r="N1091" i="3"/>
  <c r="O1091" i="3" s="1"/>
  <c r="N1090" i="3"/>
  <c r="O1090" i="3" s="1"/>
  <c r="N1087" i="3"/>
  <c r="O1087" i="3" s="1"/>
  <c r="N1078" i="3"/>
  <c r="O1078" i="3" s="1"/>
  <c r="N1077" i="3"/>
  <c r="O1077" i="3" s="1"/>
  <c r="N1076" i="3"/>
  <c r="O1076" i="3" s="1"/>
  <c r="N1075" i="3"/>
  <c r="O1075" i="3" s="1"/>
  <c r="N1070" i="3"/>
  <c r="O1070" i="3" s="1"/>
  <c r="N1071" i="3"/>
  <c r="O1071" i="3" s="1"/>
  <c r="N1072" i="3"/>
  <c r="O1072" i="3" s="1"/>
  <c r="N1073" i="3"/>
  <c r="O1073" i="3" s="1"/>
  <c r="N1074" i="3"/>
  <c r="O1074" i="3" s="1"/>
  <c r="N1079" i="3"/>
  <c r="O1079" i="3" s="1"/>
  <c r="N1080" i="3"/>
  <c r="O1080" i="3" s="1"/>
  <c r="N1081" i="3"/>
  <c r="O1081" i="3" s="1"/>
  <c r="N1082" i="3"/>
  <c r="O1082" i="3" s="1"/>
  <c r="N1083" i="3"/>
  <c r="O1083" i="3" s="1"/>
  <c r="N1084" i="3"/>
  <c r="O1084" i="3" s="1"/>
  <c r="N1085" i="3"/>
  <c r="O1085" i="3" s="1"/>
  <c r="N1086" i="3"/>
  <c r="O1086" i="3" s="1"/>
  <c r="N1088" i="3"/>
  <c r="O1088" i="3" s="1"/>
  <c r="N1089" i="3"/>
  <c r="O1089" i="3" s="1"/>
  <c r="N1092" i="3"/>
  <c r="O1092" i="3" s="1"/>
  <c r="N1093" i="3"/>
  <c r="O1093" i="3" s="1"/>
  <c r="N1094" i="3"/>
  <c r="O1094" i="3" s="1"/>
  <c r="N1095" i="3"/>
  <c r="O1095" i="3" s="1"/>
  <c r="N1096" i="3"/>
  <c r="O1096" i="3" s="1"/>
  <c r="N1097" i="3"/>
  <c r="O1097" i="3" s="1"/>
  <c r="N1098" i="3"/>
  <c r="O1098" i="3" s="1"/>
  <c r="N1099" i="3"/>
  <c r="O1099" i="3" s="1"/>
  <c r="N1100" i="3"/>
  <c r="O1100" i="3" s="1"/>
  <c r="N1101" i="3"/>
  <c r="O1101" i="3" s="1"/>
  <c r="N1069" i="3"/>
  <c r="O1069" i="3" l="1"/>
  <c r="N1192" i="3"/>
  <c r="O1107" i="3"/>
  <c r="N1193" i="3"/>
  <c r="N1059" i="3"/>
  <c r="O1059" i="3" s="1"/>
  <c r="H1059" i="3"/>
  <c r="N1057" i="3"/>
  <c r="O1057" i="3" s="1"/>
  <c r="H1057" i="3"/>
  <c r="K1056" i="3"/>
  <c r="O1056" i="3" s="1"/>
  <c r="N1053" i="3"/>
  <c r="O1053" i="3" s="1"/>
  <c r="H1053" i="3"/>
  <c r="K1052" i="3"/>
  <c r="O1052" i="3" s="1"/>
  <c r="N1049" i="3"/>
  <c r="O1049" i="3" s="1"/>
  <c r="H1049" i="3"/>
  <c r="K1048" i="3"/>
  <c r="O1048" i="3" s="1"/>
  <c r="N1045" i="3"/>
  <c r="O1045" i="3" s="1"/>
  <c r="H1045" i="3"/>
  <c r="K1044" i="3"/>
  <c r="O1044" i="3" s="1"/>
  <c r="N1041" i="3"/>
  <c r="O1041" i="3" s="1"/>
  <c r="H1041" i="3"/>
  <c r="K1040" i="3"/>
  <c r="O1040" i="3" s="1"/>
  <c r="N1037" i="3"/>
  <c r="O1037" i="3" s="1"/>
  <c r="H1037" i="3"/>
  <c r="N1033" i="3"/>
  <c r="O1033" i="3" s="1"/>
  <c r="H1033" i="3"/>
  <c r="K1032" i="3"/>
  <c r="O1032" i="3" s="1"/>
  <c r="N1029" i="3"/>
  <c r="O1029" i="3" s="1"/>
  <c r="H1029" i="3"/>
  <c r="K1028" i="3"/>
  <c r="O1028" i="3" s="1"/>
  <c r="K1030" i="3"/>
  <c r="O1030" i="3" s="1"/>
  <c r="H1031" i="3"/>
  <c r="N1031" i="3"/>
  <c r="O1031" i="3" s="1"/>
  <c r="N1025" i="3"/>
  <c r="O1025" i="3" s="1"/>
  <c r="H1025" i="3"/>
  <c r="K1024" i="3"/>
  <c r="O1024" i="3" s="1"/>
  <c r="N1021" i="3"/>
  <c r="O1021" i="3" s="1"/>
  <c r="H1021" i="3"/>
  <c r="K1020" i="3"/>
  <c r="O1020" i="3" s="1"/>
  <c r="N1017" i="3"/>
  <c r="O1017" i="3" s="1"/>
  <c r="H1017" i="3"/>
  <c r="K1016" i="3"/>
  <c r="O1016" i="3" s="1"/>
  <c r="N1013" i="3"/>
  <c r="O1013" i="3" s="1"/>
  <c r="H1013" i="3"/>
  <c r="K1012" i="3"/>
  <c r="O1012" i="3" s="1"/>
  <c r="H1006" i="3"/>
  <c r="N1004" i="3"/>
  <c r="O1004" i="3" s="1"/>
  <c r="H1004" i="3"/>
  <c r="N1000" i="3"/>
  <c r="O1000" i="3" s="1"/>
  <c r="H1000" i="3"/>
  <c r="N996" i="3"/>
  <c r="O996" i="3" s="1"/>
  <c r="H996" i="3"/>
  <c r="K995" i="3"/>
  <c r="O995" i="3" s="1"/>
  <c r="O992" i="3"/>
  <c r="H992" i="3"/>
  <c r="O991" i="3"/>
  <c r="O990" i="3"/>
  <c r="H990" i="3"/>
  <c r="O989" i="3"/>
  <c r="O988" i="3"/>
  <c r="H988" i="3"/>
  <c r="O987" i="3"/>
  <c r="O986" i="3"/>
  <c r="H986" i="3"/>
  <c r="O985" i="3"/>
  <c r="O984" i="3"/>
  <c r="H984" i="3"/>
  <c r="K983" i="3"/>
  <c r="O983" i="3" s="1"/>
  <c r="K1036" i="3" l="1"/>
  <c r="O1036" i="3" s="1"/>
  <c r="N1006" i="3"/>
  <c r="O1006" i="3" s="1"/>
  <c r="K999" i="3"/>
  <c r="K1005" i="3"/>
  <c r="O1005" i="3" s="1"/>
  <c r="N966" i="3"/>
  <c r="O966" i="3" s="1"/>
  <c r="H966" i="3"/>
  <c r="O965" i="3"/>
  <c r="N964" i="3"/>
  <c r="O964" i="3" s="1"/>
  <c r="H964" i="3"/>
  <c r="O963" i="3"/>
  <c r="K943" i="3"/>
  <c r="O999" i="3" l="1"/>
  <c r="K1003" i="3"/>
  <c r="O1003" i="3" s="1"/>
  <c r="O934" i="3"/>
  <c r="K933" i="3"/>
  <c r="O933" i="3" s="1"/>
  <c r="O932" i="3"/>
  <c r="O931" i="3"/>
  <c r="O930" i="3"/>
  <c r="O929" i="3"/>
  <c r="K928" i="3"/>
  <c r="O928" i="3" s="1"/>
  <c r="O927" i="3"/>
  <c r="K926" i="3"/>
  <c r="O926" i="3" s="1"/>
  <c r="N923" i="3"/>
  <c r="O923" i="3" s="1"/>
  <c r="H923" i="3"/>
  <c r="O922" i="3"/>
  <c r="N921" i="3"/>
  <c r="O921" i="3" s="1"/>
  <c r="H921" i="3"/>
  <c r="K920" i="3"/>
  <c r="O920" i="3" s="1"/>
  <c r="N919" i="3"/>
  <c r="O919" i="3" s="1"/>
  <c r="H919" i="3"/>
  <c r="K918" i="3"/>
  <c r="O918" i="3" s="1"/>
  <c r="N917" i="3"/>
  <c r="O917" i="3" s="1"/>
  <c r="H917" i="3"/>
  <c r="K916" i="3"/>
  <c r="O916" i="3" s="1"/>
  <c r="H915" i="3"/>
  <c r="K914" i="3"/>
  <c r="O914" i="3" s="1"/>
  <c r="N913" i="3"/>
  <c r="O913" i="3" s="1"/>
  <c r="H913" i="3"/>
  <c r="K912" i="3"/>
  <c r="O912" i="3" s="1"/>
  <c r="N911" i="3"/>
  <c r="O911" i="3" s="1"/>
  <c r="H911" i="3"/>
  <c r="K910" i="3"/>
  <c r="O910" i="3" s="1"/>
  <c r="N909" i="3"/>
  <c r="O909" i="3" s="1"/>
  <c r="H909" i="3"/>
  <c r="K908" i="3"/>
  <c r="O908" i="3" s="1"/>
  <c r="N907" i="3"/>
  <c r="O907" i="3" s="1"/>
  <c r="H907" i="3"/>
  <c r="K906" i="3"/>
  <c r="O906" i="3" s="1"/>
  <c r="N905" i="3"/>
  <c r="O905" i="3" s="1"/>
  <c r="H905" i="3"/>
  <c r="K904" i="3"/>
  <c r="O904" i="3" s="1"/>
  <c r="N903" i="3"/>
  <c r="O903" i="3" s="1"/>
  <c r="H903" i="3"/>
  <c r="N901" i="3"/>
  <c r="O901" i="3" s="1"/>
  <c r="H901" i="3"/>
  <c r="K900" i="3"/>
  <c r="K902" i="3" s="1"/>
  <c r="O902" i="3" s="1"/>
  <c r="N899" i="3"/>
  <c r="O899" i="3" s="1"/>
  <c r="H899" i="3"/>
  <c r="K898" i="3"/>
  <c r="O898" i="3" s="1"/>
  <c r="N897" i="3"/>
  <c r="O897" i="3" s="1"/>
  <c r="H897" i="3"/>
  <c r="K896" i="3"/>
  <c r="O896" i="3" s="1"/>
  <c r="N895" i="3"/>
  <c r="O895" i="3" s="1"/>
  <c r="H895" i="3"/>
  <c r="K894" i="3"/>
  <c r="O894" i="3" s="1"/>
  <c r="N893" i="3"/>
  <c r="O893" i="3" s="1"/>
  <c r="H893" i="3"/>
  <c r="K892" i="3"/>
  <c r="O892" i="3" s="1"/>
  <c r="N891" i="3"/>
  <c r="O891" i="3" s="1"/>
  <c r="H891" i="3"/>
  <c r="K890" i="3"/>
  <c r="O890" i="3" s="1"/>
  <c r="O889" i="3"/>
  <c r="N888" i="3"/>
  <c r="O888" i="3" s="1"/>
  <c r="H888" i="3"/>
  <c r="O887" i="3"/>
  <c r="N886" i="3"/>
  <c r="O886" i="3" s="1"/>
  <c r="H886" i="3"/>
  <c r="O885" i="3"/>
  <c r="N884" i="3"/>
  <c r="O884" i="3" s="1"/>
  <c r="H884" i="3"/>
  <c r="O883" i="3"/>
  <c r="N882" i="3"/>
  <c r="O882" i="3" s="1"/>
  <c r="H882" i="3"/>
  <c r="O881" i="3"/>
  <c r="H880" i="3"/>
  <c r="N878" i="3"/>
  <c r="O878" i="3" s="1"/>
  <c r="H878" i="3"/>
  <c r="N876" i="3"/>
  <c r="O876" i="3" s="1"/>
  <c r="H876" i="3"/>
  <c r="N874" i="3"/>
  <c r="N880" i="3" s="1"/>
  <c r="O880" i="3" s="1"/>
  <c r="H874" i="3"/>
  <c r="N872" i="3"/>
  <c r="O872" i="3" s="1"/>
  <c r="H872" i="3"/>
  <c r="N870" i="3"/>
  <c r="O870" i="3" s="1"/>
  <c r="H870" i="3"/>
  <c r="K869" i="3"/>
  <c r="K877" i="3" s="1"/>
  <c r="O877" i="3" s="1"/>
  <c r="N868" i="3"/>
  <c r="O868" i="3" s="1"/>
  <c r="H868" i="3"/>
  <c r="K867" i="3"/>
  <c r="O867" i="3" s="1"/>
  <c r="N866" i="3"/>
  <c r="O866" i="3" s="1"/>
  <c r="H866" i="3"/>
  <c r="K865" i="3"/>
  <c r="O865" i="3" s="1"/>
  <c r="N864" i="3"/>
  <c r="O864" i="3" s="1"/>
  <c r="H864" i="3"/>
  <c r="K863" i="3"/>
  <c r="O863" i="3" s="1"/>
  <c r="N862" i="3"/>
  <c r="O862" i="3" s="1"/>
  <c r="H862" i="3"/>
  <c r="O861" i="3"/>
  <c r="N860" i="3"/>
  <c r="O860" i="3" s="1"/>
  <c r="H860" i="3"/>
  <c r="O859" i="3"/>
  <c r="N858" i="3"/>
  <c r="O858" i="3" s="1"/>
  <c r="H858" i="3"/>
  <c r="N856" i="3"/>
  <c r="O856" i="3" s="1"/>
  <c r="H856" i="3"/>
  <c r="O855" i="3"/>
  <c r="N854" i="3"/>
  <c r="O854" i="3" s="1"/>
  <c r="H854" i="3"/>
  <c r="K853" i="3"/>
  <c r="O853" i="3" s="1"/>
  <c r="N852" i="3"/>
  <c r="O852" i="3" s="1"/>
  <c r="H852" i="3"/>
  <c r="K851" i="3"/>
  <c r="O851" i="3" s="1"/>
  <c r="N850" i="3"/>
  <c r="O850" i="3" s="1"/>
  <c r="H850" i="3"/>
  <c r="N848" i="3"/>
  <c r="O848" i="3" s="1"/>
  <c r="H848" i="3"/>
  <c r="K847" i="3"/>
  <c r="K849" i="3" s="1"/>
  <c r="O849" i="3" s="1"/>
  <c r="N846" i="3"/>
  <c r="O846" i="3" s="1"/>
  <c r="H846" i="3"/>
  <c r="O845" i="3"/>
  <c r="N844" i="3"/>
  <c r="O844" i="3" s="1"/>
  <c r="H844" i="3"/>
  <c r="K843" i="3"/>
  <c r="O843" i="3" s="1"/>
  <c r="N842" i="3"/>
  <c r="O842" i="3" s="1"/>
  <c r="H842" i="3"/>
  <c r="K841" i="3"/>
  <c r="O841" i="3" s="1"/>
  <c r="N840" i="3"/>
  <c r="O840" i="3" s="1"/>
  <c r="H840" i="3"/>
  <c r="O839" i="3"/>
  <c r="N838" i="3"/>
  <c r="O838" i="3" s="1"/>
  <c r="H838" i="3"/>
  <c r="O837" i="3"/>
  <c r="N836" i="3"/>
  <c r="O836" i="3" s="1"/>
  <c r="H836" i="3"/>
  <c r="O835" i="3"/>
  <c r="N834" i="3"/>
  <c r="O834" i="3" s="1"/>
  <c r="H834" i="3"/>
  <c r="K833" i="3"/>
  <c r="O833" i="3" s="1"/>
  <c r="N832" i="3"/>
  <c r="O832" i="3" s="1"/>
  <c r="H832" i="3"/>
  <c r="O831" i="3"/>
  <c r="N830" i="3"/>
  <c r="O830" i="3" s="1"/>
  <c r="H830" i="3"/>
  <c r="O829" i="3"/>
  <c r="N828" i="3"/>
  <c r="O828" i="3" s="1"/>
  <c r="H828" i="3"/>
  <c r="K827" i="3"/>
  <c r="O827" i="3" s="1"/>
  <c r="N826" i="3"/>
  <c r="O826" i="3" s="1"/>
  <c r="H826" i="3"/>
  <c r="K825" i="3"/>
  <c r="O825" i="3" s="1"/>
  <c r="N824" i="3"/>
  <c r="O824" i="3" s="1"/>
  <c r="H824" i="3"/>
  <c r="O823" i="3"/>
  <c r="N822" i="3"/>
  <c r="O822" i="3" s="1"/>
  <c r="H822" i="3"/>
  <c r="O821" i="3"/>
  <c r="N820" i="3"/>
  <c r="O820" i="3" s="1"/>
  <c r="H820" i="3"/>
  <c r="O819" i="3"/>
  <c r="K875" i="3" l="1"/>
  <c r="O875" i="3" s="1"/>
  <c r="N915" i="3"/>
  <c r="O915" i="3" s="1"/>
  <c r="K871" i="3"/>
  <c r="K879" i="3" s="1"/>
  <c r="O879" i="3" s="1"/>
  <c r="O847" i="3"/>
  <c r="K857" i="3"/>
  <c r="O857" i="3" s="1"/>
  <c r="O874" i="3"/>
  <c r="O900" i="3"/>
  <c r="O869" i="3"/>
  <c r="K873" i="3" l="1"/>
  <c r="O873" i="3" s="1"/>
  <c r="O871" i="3"/>
  <c r="K815" i="3"/>
  <c r="K810" i="3"/>
  <c r="K808" i="3"/>
  <c r="K802" i="3"/>
  <c r="K751" i="3"/>
  <c r="K749" i="3"/>
  <c r="K735" i="3"/>
  <c r="K723" i="3"/>
  <c r="N598" i="3"/>
  <c r="O598" i="3" s="1"/>
  <c r="N597" i="3"/>
  <c r="O597" i="3" s="1"/>
  <c r="N596" i="3"/>
  <c r="O596" i="3" s="1"/>
  <c r="O696" i="3" l="1"/>
  <c r="O688" i="3"/>
  <c r="O686" i="3"/>
  <c r="O685" i="3"/>
  <c r="O684" i="3"/>
  <c r="O683" i="3"/>
  <c r="O682" i="3"/>
  <c r="O681" i="3"/>
  <c r="O680" i="3"/>
  <c r="O677" i="3"/>
  <c r="O678" i="3"/>
  <c r="O679" i="3"/>
  <c r="J675" i="3"/>
  <c r="J676" i="3"/>
  <c r="O676" i="3" s="1"/>
  <c r="N628" i="3"/>
  <c r="O628" i="3" s="1"/>
  <c r="N627" i="3"/>
  <c r="O627" i="3" s="1"/>
  <c r="N626" i="3"/>
  <c r="O626" i="3" s="1"/>
  <c r="N625" i="3"/>
  <c r="O625" i="3" s="1"/>
  <c r="N631" i="3"/>
  <c r="O631" i="3" s="1"/>
  <c r="N632" i="3"/>
  <c r="O632" i="3" s="1"/>
  <c r="N630" i="3"/>
  <c r="O630" i="3" s="1"/>
  <c r="N624" i="3"/>
  <c r="O624" i="3" s="1"/>
  <c r="N623" i="3"/>
  <c r="O623" i="3" s="1"/>
  <c r="N622" i="3"/>
  <c r="O622" i="3" s="1"/>
  <c r="O605" i="3"/>
  <c r="N581" i="3"/>
  <c r="O581" i="3" s="1"/>
  <c r="N580" i="3"/>
  <c r="O580" i="3" s="1"/>
  <c r="N541" i="3"/>
  <c r="O541" i="3" s="1"/>
  <c r="N540" i="3"/>
  <c r="O540" i="3" s="1"/>
  <c r="N539" i="3"/>
  <c r="O539" i="3" s="1"/>
  <c r="N538" i="3"/>
  <c r="O538" i="3" s="1"/>
  <c r="N537" i="3"/>
  <c r="O537" i="3" s="1"/>
  <c r="N536" i="3"/>
  <c r="O536" i="3" s="1"/>
  <c r="N535" i="3"/>
  <c r="O535" i="3" s="1"/>
  <c r="N534" i="3"/>
  <c r="O534" i="3" s="1"/>
  <c r="N533" i="3"/>
  <c r="O533" i="3" s="1"/>
  <c r="N532" i="3"/>
  <c r="O532" i="3" s="1"/>
  <c r="I505" i="3"/>
  <c r="I460" i="3"/>
  <c r="N496" i="3"/>
  <c r="O496" i="3" s="1"/>
  <c r="N495" i="3"/>
  <c r="O495" i="3" s="1"/>
  <c r="N494" i="3"/>
  <c r="O494" i="3" s="1"/>
  <c r="N493" i="3"/>
  <c r="O493" i="3" s="1"/>
  <c r="N492" i="3"/>
  <c r="O492" i="3" s="1"/>
  <c r="N491" i="3"/>
  <c r="O491" i="3" s="1"/>
  <c r="N490" i="3"/>
  <c r="O490" i="3" s="1"/>
  <c r="N489" i="3"/>
  <c r="O489" i="3" s="1"/>
  <c r="N488" i="3"/>
  <c r="O488" i="3" s="1"/>
  <c r="N487" i="3"/>
  <c r="O487" i="3" s="1"/>
  <c r="N451" i="3"/>
  <c r="O451" i="3" s="1"/>
  <c r="N449" i="3"/>
  <c r="O449" i="3" s="1"/>
  <c r="N450" i="3"/>
  <c r="O450" i="3" s="1"/>
  <c r="N448" i="3"/>
  <c r="O448" i="3" s="1"/>
  <c r="N446" i="3"/>
  <c r="O446" i="3" s="1"/>
  <c r="N447" i="3"/>
  <c r="O447" i="3" s="1"/>
  <c r="N445" i="3"/>
  <c r="O445" i="3" s="1"/>
  <c r="N444" i="3"/>
  <c r="O444" i="3" s="1"/>
  <c r="N443" i="3"/>
  <c r="O443" i="3" s="1"/>
  <c r="N442" i="3"/>
  <c r="O442" i="3" s="1"/>
  <c r="I415" i="3"/>
  <c r="O242" i="3"/>
  <c r="H242" i="3"/>
  <c r="K241" i="3"/>
  <c r="O241" i="3" s="1"/>
  <c r="K239" i="3"/>
  <c r="K237" i="3"/>
  <c r="K233" i="3"/>
  <c r="K229" i="3"/>
  <c r="K227" i="3"/>
  <c r="K215" i="3"/>
  <c r="O200" i="3"/>
  <c r="O196" i="3"/>
  <c r="N201" i="3"/>
  <c r="O201" i="3" s="1"/>
  <c r="H201" i="3"/>
  <c r="N199" i="3"/>
  <c r="N197" i="3"/>
  <c r="O197" i="3" s="1"/>
  <c r="O195" i="3"/>
  <c r="K194" i="3"/>
  <c r="O194" i="3" s="1"/>
  <c r="H199" i="3"/>
  <c r="H197" i="3"/>
  <c r="H195" i="3"/>
  <c r="N193" i="3"/>
  <c r="O193" i="3" s="1"/>
  <c r="H193" i="3"/>
  <c r="K192" i="3"/>
  <c r="O192" i="3" s="1"/>
  <c r="N191" i="3"/>
  <c r="O191" i="3" s="1"/>
  <c r="H191" i="3"/>
  <c r="K190" i="3"/>
  <c r="O190" i="3" s="1"/>
  <c r="N189" i="3"/>
  <c r="O189" i="3" s="1"/>
  <c r="H189" i="3"/>
  <c r="K188" i="3"/>
  <c r="O188" i="3" s="1"/>
  <c r="O187" i="3"/>
  <c r="H187" i="3"/>
  <c r="K186" i="3"/>
  <c r="O186" i="3" s="1"/>
  <c r="H185" i="3"/>
  <c r="N183" i="3"/>
  <c r="O183" i="3" s="1"/>
  <c r="H183" i="3"/>
  <c r="K182" i="3"/>
  <c r="O182" i="3" s="1"/>
  <c r="N181" i="3"/>
  <c r="O181" i="3" s="1"/>
  <c r="H181" i="3"/>
  <c r="K180" i="3"/>
  <c r="O180" i="3" s="1"/>
  <c r="N179" i="3"/>
  <c r="O179" i="3" s="1"/>
  <c r="H179" i="3"/>
  <c r="K178" i="3"/>
  <c r="O178" i="3" s="1"/>
  <c r="N177" i="3"/>
  <c r="O177" i="3" s="1"/>
  <c r="H177" i="3"/>
  <c r="K176" i="3"/>
  <c r="K184" i="3" s="1"/>
  <c r="O184" i="3" s="1"/>
  <c r="N175" i="3"/>
  <c r="O175" i="3" s="1"/>
  <c r="H175" i="3"/>
  <c r="K174" i="3"/>
  <c r="O174" i="3" s="1"/>
  <c r="N173" i="3"/>
  <c r="O173" i="3" s="1"/>
  <c r="H173" i="3"/>
  <c r="K172" i="3"/>
  <c r="O172" i="3" s="1"/>
  <c r="N171" i="3"/>
  <c r="O171" i="3" s="1"/>
  <c r="H171" i="3"/>
  <c r="K170" i="3"/>
  <c r="O170" i="3" s="1"/>
  <c r="N169" i="3"/>
  <c r="O169" i="3" s="1"/>
  <c r="H169" i="3"/>
  <c r="K168" i="3"/>
  <c r="O168" i="3" s="1"/>
  <c r="N167" i="3"/>
  <c r="O167" i="3" s="1"/>
  <c r="H167" i="3"/>
  <c r="K166" i="3"/>
  <c r="O166" i="3" s="1"/>
  <c r="N165" i="3"/>
  <c r="O165" i="3" s="1"/>
  <c r="H165" i="3"/>
  <c r="K164" i="3"/>
  <c r="O164" i="3" s="1"/>
  <c r="O163" i="3"/>
  <c r="H163" i="3"/>
  <c r="K162" i="3"/>
  <c r="O162" i="3" s="1"/>
  <c r="N161" i="3"/>
  <c r="O161" i="3" s="1"/>
  <c r="H161" i="3"/>
  <c r="K160" i="3"/>
  <c r="O160" i="3" s="1"/>
  <c r="O159" i="3"/>
  <c r="H159" i="3"/>
  <c r="K158" i="3"/>
  <c r="O158" i="3" s="1"/>
  <c r="O157" i="3"/>
  <c r="H157" i="3"/>
  <c r="K156" i="3"/>
  <c r="O156" i="3" s="1"/>
  <c r="O155" i="3"/>
  <c r="H155" i="3"/>
  <c r="K154" i="3"/>
  <c r="O154" i="3" s="1"/>
  <c r="N153" i="3"/>
  <c r="O153" i="3" s="1"/>
  <c r="H153" i="3"/>
  <c r="K152" i="3"/>
  <c r="O152" i="3" s="1"/>
  <c r="N151" i="3"/>
  <c r="O151" i="3" s="1"/>
  <c r="H151" i="3"/>
  <c r="K150" i="3"/>
  <c r="O150" i="3" s="1"/>
  <c r="O149" i="3"/>
  <c r="H149" i="3"/>
  <c r="K148" i="3"/>
  <c r="O148" i="3" s="1"/>
  <c r="K146" i="3"/>
  <c r="K144" i="3"/>
  <c r="K142" i="3"/>
  <c r="K140" i="3"/>
  <c r="K138" i="3"/>
  <c r="K136" i="3"/>
  <c r="K134" i="3"/>
  <c r="K132" i="3"/>
  <c r="K130" i="3"/>
  <c r="O176" i="3" l="1"/>
  <c r="N185" i="3"/>
  <c r="O185" i="3" s="1"/>
  <c r="N1196" i="3"/>
  <c r="O1166" i="3"/>
  <c r="O1164" i="3"/>
  <c r="O1160" i="3" s="1"/>
  <c r="O1130" i="3"/>
  <c r="O1129" i="3"/>
  <c r="C1128" i="3"/>
  <c r="E1128" i="3" s="1"/>
  <c r="O1133" i="3"/>
  <c r="O1060" i="3"/>
  <c r="N1061" i="3"/>
  <c r="O1061" i="3" s="1"/>
  <c r="N968" i="3"/>
  <c r="O968" i="3" s="1"/>
  <c r="H968" i="3"/>
  <c r="N962" i="3"/>
  <c r="O962" i="3" s="1"/>
  <c r="H962" i="3"/>
  <c r="K961" i="3"/>
  <c r="O961" i="3" s="1"/>
  <c r="N960" i="3"/>
  <c r="O960" i="3" s="1"/>
  <c r="H960" i="3"/>
  <c r="K959" i="3"/>
  <c r="O959" i="3" s="1"/>
  <c r="K981" i="3"/>
  <c r="O981" i="3" s="1"/>
  <c r="N958" i="3"/>
  <c r="O958" i="3" s="1"/>
  <c r="H958" i="3"/>
  <c r="K957" i="3"/>
  <c r="O957" i="3" s="1"/>
  <c r="H1061" i="3"/>
  <c r="N1055" i="3"/>
  <c r="O1055" i="3" s="1"/>
  <c r="H1055" i="3"/>
  <c r="K1054" i="3"/>
  <c r="O1054" i="3" s="1"/>
  <c r="N1051" i="3"/>
  <c r="O1051" i="3" s="1"/>
  <c r="H1051" i="3"/>
  <c r="K1050" i="3"/>
  <c r="O1050" i="3" s="1"/>
  <c r="N1047" i="3"/>
  <c r="O1047" i="3" s="1"/>
  <c r="H1047" i="3"/>
  <c r="K1046" i="3"/>
  <c r="O1046" i="3" s="1"/>
  <c r="N1043" i="3"/>
  <c r="O1043" i="3" s="1"/>
  <c r="H1043" i="3"/>
  <c r="K1042" i="3"/>
  <c r="O1042" i="3" s="1"/>
  <c r="N1039" i="3"/>
  <c r="O1039" i="3" s="1"/>
  <c r="H1039" i="3"/>
  <c r="K1038" i="3"/>
  <c r="O1038" i="3" s="1"/>
  <c r="N1035" i="3"/>
  <c r="O1035" i="3" s="1"/>
  <c r="H1035" i="3"/>
  <c r="K1034" i="3"/>
  <c r="O1034" i="3" s="1"/>
  <c r="N1027" i="3"/>
  <c r="O1027" i="3" s="1"/>
  <c r="H1027" i="3"/>
  <c r="K1026" i="3"/>
  <c r="O1026" i="3" s="1"/>
  <c r="N1023" i="3"/>
  <c r="O1023" i="3" s="1"/>
  <c r="H1023" i="3"/>
  <c r="K1022" i="3"/>
  <c r="O1022" i="3" s="1"/>
  <c r="N1019" i="3"/>
  <c r="O1019" i="3" s="1"/>
  <c r="H1019" i="3"/>
  <c r="K1018" i="3"/>
  <c r="O1018" i="3" s="1"/>
  <c r="N1015" i="3"/>
  <c r="O1015" i="3" s="1"/>
  <c r="H1015" i="3"/>
  <c r="K1014" i="3"/>
  <c r="O1014" i="3" s="1"/>
  <c r="N1011" i="3"/>
  <c r="O1011" i="3" s="1"/>
  <c r="H1011" i="3"/>
  <c r="K1010" i="3"/>
  <c r="O1010" i="3" s="1"/>
  <c r="O1009" i="3"/>
  <c r="H1008" i="3"/>
  <c r="N1002" i="3"/>
  <c r="O1002" i="3" s="1"/>
  <c r="H1002" i="3"/>
  <c r="N998" i="3"/>
  <c r="O998" i="3" s="1"/>
  <c r="H998" i="3"/>
  <c r="N994" i="3"/>
  <c r="O994" i="3" s="1"/>
  <c r="H994" i="3"/>
  <c r="K993" i="3"/>
  <c r="O993" i="3" s="1"/>
  <c r="H982" i="3"/>
  <c r="O980" i="3"/>
  <c r="C1067" i="3"/>
  <c r="E1067" i="3" s="1"/>
  <c r="E1126" i="3"/>
  <c r="O1127" i="3"/>
  <c r="O1126" i="3" s="1"/>
  <c r="C1131" i="3"/>
  <c r="E1131" i="3" s="1"/>
  <c r="O1132" i="3"/>
  <c r="O1137" i="3"/>
  <c r="O1136" i="3" s="1"/>
  <c r="O1153" i="3"/>
  <c r="O1152" i="3" s="1"/>
  <c r="C1165" i="3"/>
  <c r="E1165" i="3" s="1"/>
  <c r="E1169" i="3"/>
  <c r="C979" i="3"/>
  <c r="E979" i="3" s="1"/>
  <c r="N977" i="3"/>
  <c r="O977" i="3" s="1"/>
  <c r="H977" i="3"/>
  <c r="O976" i="3"/>
  <c r="N975" i="3"/>
  <c r="O975" i="3" s="1"/>
  <c r="H975" i="3"/>
  <c r="K974" i="3"/>
  <c r="O974" i="3" s="1"/>
  <c r="N973" i="3"/>
  <c r="O973" i="3" s="1"/>
  <c r="H973" i="3"/>
  <c r="K972" i="3"/>
  <c r="O972" i="3" s="1"/>
  <c r="H971" i="3"/>
  <c r="K970" i="3"/>
  <c r="O970" i="3" s="1"/>
  <c r="O969" i="3"/>
  <c r="N956" i="3"/>
  <c r="O956" i="3" s="1"/>
  <c r="H956" i="3"/>
  <c r="O955" i="3"/>
  <c r="N954" i="3"/>
  <c r="O954" i="3" s="1"/>
  <c r="H954" i="3"/>
  <c r="O953" i="3"/>
  <c r="N952" i="3"/>
  <c r="O952" i="3" s="1"/>
  <c r="H952" i="3"/>
  <c r="O951" i="3"/>
  <c r="N950" i="3"/>
  <c r="O950" i="3" s="1"/>
  <c r="H950" i="3"/>
  <c r="O949" i="3"/>
  <c r="N948" i="3"/>
  <c r="O948" i="3" s="1"/>
  <c r="H948" i="3"/>
  <c r="O947" i="3"/>
  <c r="N946" i="3"/>
  <c r="O946" i="3" s="1"/>
  <c r="H946" i="3"/>
  <c r="O945" i="3"/>
  <c r="N944" i="3"/>
  <c r="O944" i="3" s="1"/>
  <c r="H944" i="3"/>
  <c r="O943" i="3"/>
  <c r="N942" i="3"/>
  <c r="O942" i="3" s="1"/>
  <c r="H942" i="3"/>
  <c r="O941" i="3"/>
  <c r="N940" i="3"/>
  <c r="O940" i="3" s="1"/>
  <c r="H940" i="3"/>
  <c r="K939" i="3"/>
  <c r="O939" i="3" s="1"/>
  <c r="N938" i="3"/>
  <c r="O938" i="3" s="1"/>
  <c r="H938" i="3"/>
  <c r="K937" i="3"/>
  <c r="O937" i="3" s="1"/>
  <c r="O936" i="3"/>
  <c r="O818" i="3"/>
  <c r="O814" i="3"/>
  <c r="O244" i="3"/>
  <c r="O243" i="3"/>
  <c r="O809" i="3"/>
  <c r="O808" i="3"/>
  <c r="N805" i="3"/>
  <c r="O805" i="3" s="1"/>
  <c r="O804" i="3"/>
  <c r="N803" i="3"/>
  <c r="O803" i="3" s="1"/>
  <c r="O802" i="3"/>
  <c r="K800" i="3"/>
  <c r="O800" i="3" s="1"/>
  <c r="K798" i="3"/>
  <c r="O798" i="3" s="1"/>
  <c r="K796" i="3"/>
  <c r="O796" i="3" s="1"/>
  <c r="K782" i="3"/>
  <c r="O782" i="3" s="1"/>
  <c r="K794" i="3"/>
  <c r="O794" i="3" s="1"/>
  <c r="K792" i="3"/>
  <c r="O792" i="3" s="1"/>
  <c r="K790" i="3"/>
  <c r="O790" i="3" s="1"/>
  <c r="K788" i="3"/>
  <c r="O788" i="3" s="1"/>
  <c r="K786" i="3"/>
  <c r="O786" i="3" s="1"/>
  <c r="K780" i="3"/>
  <c r="O780" i="3" s="1"/>
  <c r="K778" i="3"/>
  <c r="O778" i="3" s="1"/>
  <c r="K776" i="3"/>
  <c r="O776" i="3" s="1"/>
  <c r="K774" i="3"/>
  <c r="O774" i="3" s="1"/>
  <c r="K772" i="3"/>
  <c r="O772" i="3" s="1"/>
  <c r="O769" i="3"/>
  <c r="N768" i="3"/>
  <c r="N797" i="3" s="1"/>
  <c r="O797" i="3" s="1"/>
  <c r="O767" i="3"/>
  <c r="O763" i="3"/>
  <c r="H762" i="3"/>
  <c r="N754" i="3"/>
  <c r="O754" i="3" s="1"/>
  <c r="N752" i="3"/>
  <c r="O752" i="3" s="1"/>
  <c r="K759" i="3"/>
  <c r="O759" i="3" s="1"/>
  <c r="K757" i="3"/>
  <c r="O757" i="3" s="1"/>
  <c r="N748" i="3"/>
  <c r="O748" i="3" s="1"/>
  <c r="K747" i="3"/>
  <c r="K753" i="3" s="1"/>
  <c r="K755" i="3" s="1"/>
  <c r="O755" i="3" s="1"/>
  <c r="N746" i="3"/>
  <c r="O746" i="3" s="1"/>
  <c r="K745" i="3"/>
  <c r="O745" i="3" s="1"/>
  <c r="N744" i="3"/>
  <c r="O744" i="3" s="1"/>
  <c r="O743" i="3"/>
  <c r="N742" i="3"/>
  <c r="O742" i="3" s="1"/>
  <c r="O741" i="3"/>
  <c r="N740" i="3"/>
  <c r="O740" i="3" s="1"/>
  <c r="N738" i="3"/>
  <c r="O738" i="3" s="1"/>
  <c r="N736" i="3"/>
  <c r="O736" i="3" s="1"/>
  <c r="O737" i="3"/>
  <c r="K739" i="3"/>
  <c r="O739" i="3" s="1"/>
  <c r="N734" i="3"/>
  <c r="O734" i="3" s="1"/>
  <c r="K733" i="3"/>
  <c r="O733" i="3" s="1"/>
  <c r="N730" i="3"/>
  <c r="O730" i="3" s="1"/>
  <c r="K729" i="3"/>
  <c r="K731" i="3" s="1"/>
  <c r="O731" i="3" s="1"/>
  <c r="N728" i="3"/>
  <c r="O728" i="3" s="1"/>
  <c r="O727" i="3"/>
  <c r="N726" i="3"/>
  <c r="O726" i="3" s="1"/>
  <c r="K725" i="3"/>
  <c r="O725" i="3" s="1"/>
  <c r="N724" i="3"/>
  <c r="O724" i="3" s="1"/>
  <c r="O723" i="3"/>
  <c r="O721" i="3"/>
  <c r="N720" i="3"/>
  <c r="O720" i="3" s="1"/>
  <c r="O719" i="3"/>
  <c r="O717" i="3"/>
  <c r="K715" i="3"/>
  <c r="O715" i="3" s="1"/>
  <c r="O713" i="3"/>
  <c r="N712" i="3"/>
  <c r="O712" i="3" s="1"/>
  <c r="O711" i="3"/>
  <c r="N710" i="3"/>
  <c r="O710" i="3" s="1"/>
  <c r="K709" i="3"/>
  <c r="O709" i="3" s="1"/>
  <c r="K707" i="3"/>
  <c r="O707" i="3" s="1"/>
  <c r="N708" i="3"/>
  <c r="O708" i="3" s="1"/>
  <c r="O703" i="3"/>
  <c r="N706" i="3"/>
  <c r="O706" i="3" s="1"/>
  <c r="O705" i="3"/>
  <c r="N704" i="3"/>
  <c r="O704" i="3" s="1"/>
  <c r="H706" i="3"/>
  <c r="H704" i="3"/>
  <c r="O701" i="3"/>
  <c r="H805" i="3"/>
  <c r="H803" i="3"/>
  <c r="N801" i="3"/>
  <c r="O801" i="3" s="1"/>
  <c r="H801" i="3"/>
  <c r="N799" i="3"/>
  <c r="O799" i="3" s="1"/>
  <c r="H799" i="3"/>
  <c r="H797" i="3"/>
  <c r="N795" i="3"/>
  <c r="O795" i="3" s="1"/>
  <c r="H795" i="3"/>
  <c r="N793" i="3"/>
  <c r="O793" i="3" s="1"/>
  <c r="H793" i="3"/>
  <c r="N791" i="3"/>
  <c r="O791" i="3" s="1"/>
  <c r="H791" i="3"/>
  <c r="N789" i="3"/>
  <c r="O789" i="3" s="1"/>
  <c r="H789" i="3"/>
  <c r="N787" i="3"/>
  <c r="O787" i="3" s="1"/>
  <c r="H787" i="3"/>
  <c r="N785" i="3"/>
  <c r="O785" i="3" s="1"/>
  <c r="H785" i="3"/>
  <c r="N783" i="3"/>
  <c r="O783" i="3" s="1"/>
  <c r="H783" i="3"/>
  <c r="N781" i="3"/>
  <c r="O781" i="3" s="1"/>
  <c r="H781" i="3"/>
  <c r="N779" i="3"/>
  <c r="O779" i="3" s="1"/>
  <c r="H779" i="3"/>
  <c r="N777" i="3"/>
  <c r="O777" i="3" s="1"/>
  <c r="H777" i="3"/>
  <c r="N775" i="3"/>
  <c r="O775" i="3" s="1"/>
  <c r="H775" i="3"/>
  <c r="N773" i="3"/>
  <c r="O773" i="3" s="1"/>
  <c r="H773" i="3"/>
  <c r="O771" i="3"/>
  <c r="N770" i="3"/>
  <c r="O770" i="3" s="1"/>
  <c r="H770" i="3"/>
  <c r="H768" i="3"/>
  <c r="N766" i="3"/>
  <c r="O766" i="3" s="1"/>
  <c r="H766" i="3"/>
  <c r="O765" i="3"/>
  <c r="N764" i="3"/>
  <c r="O764" i="3" s="1"/>
  <c r="H764" i="3"/>
  <c r="N760" i="3"/>
  <c r="O760" i="3" s="1"/>
  <c r="H760" i="3"/>
  <c r="N758" i="3"/>
  <c r="O758" i="3" s="1"/>
  <c r="H758" i="3"/>
  <c r="N756" i="3"/>
  <c r="O756" i="3" s="1"/>
  <c r="H756" i="3"/>
  <c r="H754" i="3"/>
  <c r="H752" i="3"/>
  <c r="N750" i="3"/>
  <c r="O750" i="3" s="1"/>
  <c r="H750" i="3"/>
  <c r="H748" i="3"/>
  <c r="H746" i="3"/>
  <c r="H744" i="3"/>
  <c r="H742" i="3"/>
  <c r="H740" i="3"/>
  <c r="H738" i="3"/>
  <c r="H736" i="3"/>
  <c r="H734" i="3"/>
  <c r="N732" i="3"/>
  <c r="O732" i="3" s="1"/>
  <c r="H732" i="3"/>
  <c r="H730" i="3"/>
  <c r="H728" i="3"/>
  <c r="H726" i="3"/>
  <c r="H724" i="3"/>
  <c r="N722" i="3"/>
  <c r="O722" i="3" s="1"/>
  <c r="H722" i="3"/>
  <c r="H720" i="3"/>
  <c r="N718" i="3"/>
  <c r="O718" i="3" s="1"/>
  <c r="H718" i="3"/>
  <c r="N716" i="3"/>
  <c r="O716" i="3" s="1"/>
  <c r="H716" i="3"/>
  <c r="N714" i="3"/>
  <c r="O714" i="3" s="1"/>
  <c r="H714" i="3"/>
  <c r="H712" i="3"/>
  <c r="H710" i="3"/>
  <c r="H708" i="3"/>
  <c r="N702" i="3"/>
  <c r="O702" i="3" s="1"/>
  <c r="H702" i="3"/>
  <c r="O692" i="3"/>
  <c r="O691" i="3"/>
  <c r="O675" i="3"/>
  <c r="O658" i="3"/>
  <c r="N657" i="3"/>
  <c r="O657" i="3" s="1"/>
  <c r="N557" i="3"/>
  <c r="O557" i="3" s="1"/>
  <c r="N426" i="3"/>
  <c r="O426" i="3" s="1"/>
  <c r="N455" i="3"/>
  <c r="O455" i="3" s="1"/>
  <c r="N456" i="3"/>
  <c r="O456" i="3" s="1"/>
  <c r="N457" i="3"/>
  <c r="O457" i="3" s="1"/>
  <c r="N458" i="3"/>
  <c r="O458" i="3" s="1"/>
  <c r="N459" i="3"/>
  <c r="O459" i="3" s="1"/>
  <c r="N460" i="3"/>
  <c r="O460" i="3" s="1"/>
  <c r="N461" i="3"/>
  <c r="O461" i="3" s="1"/>
  <c r="N462" i="3"/>
  <c r="O462" i="3" s="1"/>
  <c r="N463" i="3"/>
  <c r="O463" i="3" s="1"/>
  <c r="N464" i="3"/>
  <c r="O464" i="3" s="1"/>
  <c r="N465" i="3"/>
  <c r="O465" i="3" s="1"/>
  <c r="N466" i="3"/>
  <c r="O466" i="3" s="1"/>
  <c r="N467" i="3"/>
  <c r="O467" i="3" s="1"/>
  <c r="N468" i="3"/>
  <c r="O468" i="3" s="1"/>
  <c r="N469" i="3"/>
  <c r="O469" i="3" s="1"/>
  <c r="N470" i="3"/>
  <c r="O470" i="3" s="1"/>
  <c r="N471" i="3"/>
  <c r="O471" i="3" s="1"/>
  <c r="N472" i="3"/>
  <c r="O472" i="3" s="1"/>
  <c r="N473" i="3"/>
  <c r="O473" i="3" s="1"/>
  <c r="N474" i="3"/>
  <c r="O474" i="3" s="1"/>
  <c r="N475" i="3"/>
  <c r="O475" i="3" s="1"/>
  <c r="N476" i="3"/>
  <c r="O476" i="3" s="1"/>
  <c r="N477" i="3"/>
  <c r="O477" i="3" s="1"/>
  <c r="N478" i="3"/>
  <c r="O478" i="3" s="1"/>
  <c r="N479" i="3"/>
  <c r="O479" i="3" s="1"/>
  <c r="N480" i="3"/>
  <c r="O480" i="3" s="1"/>
  <c r="N481" i="3"/>
  <c r="O481" i="3" s="1"/>
  <c r="N482" i="3"/>
  <c r="O482" i="3" s="1"/>
  <c r="N483" i="3"/>
  <c r="O483" i="3" s="1"/>
  <c r="N484" i="3"/>
  <c r="O484" i="3" s="1"/>
  <c r="N485" i="3"/>
  <c r="O485" i="3" s="1"/>
  <c r="N486" i="3"/>
  <c r="O486" i="3" s="1"/>
  <c r="N454" i="3"/>
  <c r="O454" i="3" s="1"/>
  <c r="N516" i="3"/>
  <c r="O516" i="3" s="1"/>
  <c r="N515" i="3"/>
  <c r="O515" i="3" s="1"/>
  <c r="N517" i="3"/>
  <c r="O517" i="3" s="1"/>
  <c r="N518" i="3"/>
  <c r="O518" i="3" s="1"/>
  <c r="N564" i="3"/>
  <c r="O564" i="3" s="1"/>
  <c r="N563" i="3"/>
  <c r="O563" i="3" s="1"/>
  <c r="N530" i="3"/>
  <c r="O530" i="3" s="1"/>
  <c r="N529" i="3"/>
  <c r="O529" i="3" s="1"/>
  <c r="N439" i="3"/>
  <c r="O439" i="3" s="1"/>
  <c r="N440" i="3"/>
  <c r="O440" i="3" s="1"/>
  <c r="N585" i="3"/>
  <c r="O585" i="3" s="1"/>
  <c r="N600" i="3"/>
  <c r="O600" i="3" s="1"/>
  <c r="N601" i="3"/>
  <c r="O601" i="3" s="1"/>
  <c r="N602" i="3"/>
  <c r="O602" i="3" s="1"/>
  <c r="N603" i="3"/>
  <c r="O603" i="3" s="1"/>
  <c r="N595" i="3"/>
  <c r="O595" i="3" s="1"/>
  <c r="N594" i="3"/>
  <c r="O594" i="3" s="1"/>
  <c r="N593" i="3"/>
  <c r="O593" i="3" s="1"/>
  <c r="N592" i="3"/>
  <c r="O592" i="3" s="1"/>
  <c r="N591" i="3"/>
  <c r="O591" i="3" s="1"/>
  <c r="N590" i="3"/>
  <c r="O590" i="3" s="1"/>
  <c r="N589" i="3"/>
  <c r="O589" i="3" s="1"/>
  <c r="N588" i="3"/>
  <c r="O588" i="3" s="1"/>
  <c r="N587" i="3"/>
  <c r="O587" i="3" s="1"/>
  <c r="N586" i="3"/>
  <c r="O586" i="3" s="1"/>
  <c r="N578" i="3"/>
  <c r="O578" i="3" s="1"/>
  <c r="N577" i="3"/>
  <c r="O577" i="3" s="1"/>
  <c r="N576" i="3"/>
  <c r="O576" i="3" s="1"/>
  <c r="N575" i="3"/>
  <c r="O575" i="3" s="1"/>
  <c r="N574" i="3"/>
  <c r="O574" i="3" s="1"/>
  <c r="N573" i="3"/>
  <c r="O573" i="3" s="1"/>
  <c r="N572" i="3"/>
  <c r="O572" i="3" s="1"/>
  <c r="N571" i="3"/>
  <c r="O571" i="3" s="1"/>
  <c r="N570" i="3"/>
  <c r="O570" i="3" s="1"/>
  <c r="N569" i="3"/>
  <c r="O569" i="3" s="1"/>
  <c r="N568" i="3"/>
  <c r="O568" i="3" s="1"/>
  <c r="N567" i="3"/>
  <c r="O567" i="3" s="1"/>
  <c r="N565" i="3"/>
  <c r="O565" i="3" s="1"/>
  <c r="N562" i="3"/>
  <c r="O562" i="3" s="1"/>
  <c r="N561" i="3"/>
  <c r="O561" i="3" s="1"/>
  <c r="N560" i="3"/>
  <c r="O560" i="3" s="1"/>
  <c r="N559" i="3"/>
  <c r="O559" i="3" s="1"/>
  <c r="N558" i="3"/>
  <c r="O558" i="3" s="1"/>
  <c r="N556" i="3"/>
  <c r="O556" i="3" s="1"/>
  <c r="N555" i="3"/>
  <c r="O555" i="3" s="1"/>
  <c r="N554" i="3"/>
  <c r="O554" i="3" s="1"/>
  <c r="N553" i="3"/>
  <c r="O553" i="3" s="1"/>
  <c r="N552" i="3"/>
  <c r="O552" i="3" s="1"/>
  <c r="N551" i="3"/>
  <c r="O551" i="3" s="1"/>
  <c r="N550" i="3"/>
  <c r="O550" i="3" s="1"/>
  <c r="N549" i="3"/>
  <c r="O549" i="3" s="1"/>
  <c r="N548" i="3"/>
  <c r="O548" i="3" s="1"/>
  <c r="N547" i="3"/>
  <c r="O547" i="3" s="1"/>
  <c r="N546" i="3"/>
  <c r="O546" i="3" s="1"/>
  <c r="N545" i="3"/>
  <c r="O545" i="3" s="1"/>
  <c r="N544" i="3"/>
  <c r="O544" i="3" s="1"/>
  <c r="N499" i="3"/>
  <c r="O499" i="3" s="1"/>
  <c r="N500" i="3"/>
  <c r="O500" i="3" s="1"/>
  <c r="N501" i="3"/>
  <c r="O501" i="3" s="1"/>
  <c r="N502" i="3"/>
  <c r="O502" i="3" s="1"/>
  <c r="N503" i="3"/>
  <c r="O503" i="3" s="1"/>
  <c r="N504" i="3"/>
  <c r="O504" i="3" s="1"/>
  <c r="N505" i="3"/>
  <c r="O505" i="3" s="1"/>
  <c r="N506" i="3"/>
  <c r="O506" i="3" s="1"/>
  <c r="N507" i="3"/>
  <c r="O507" i="3" s="1"/>
  <c r="N508" i="3"/>
  <c r="O508" i="3" s="1"/>
  <c r="N509" i="3"/>
  <c r="O509" i="3" s="1"/>
  <c r="N510" i="3"/>
  <c r="O510" i="3" s="1"/>
  <c r="N511" i="3"/>
  <c r="O511" i="3" s="1"/>
  <c r="N512" i="3"/>
  <c r="O512" i="3" s="1"/>
  <c r="N513" i="3"/>
  <c r="O513" i="3" s="1"/>
  <c r="N514" i="3"/>
  <c r="O514" i="3" s="1"/>
  <c r="N519" i="3"/>
  <c r="O519" i="3" s="1"/>
  <c r="N520" i="3"/>
  <c r="O520" i="3" s="1"/>
  <c r="N521" i="3"/>
  <c r="O521" i="3" s="1"/>
  <c r="N522" i="3"/>
  <c r="O522" i="3" s="1"/>
  <c r="N523" i="3"/>
  <c r="O523" i="3" s="1"/>
  <c r="N524" i="3"/>
  <c r="O524" i="3" s="1"/>
  <c r="N525" i="3"/>
  <c r="O525" i="3" s="1"/>
  <c r="N526" i="3"/>
  <c r="O526" i="3" s="1"/>
  <c r="N527" i="3"/>
  <c r="O527" i="3" s="1"/>
  <c r="N528" i="3"/>
  <c r="O528" i="3" s="1"/>
  <c r="N531" i="3"/>
  <c r="O531" i="3" s="1"/>
  <c r="N410" i="3"/>
  <c r="O410" i="3" s="1"/>
  <c r="N411" i="3"/>
  <c r="O411" i="3" s="1"/>
  <c r="N412" i="3"/>
  <c r="O412" i="3" s="1"/>
  <c r="N413" i="3"/>
  <c r="O413" i="3" s="1"/>
  <c r="N414" i="3"/>
  <c r="O414" i="3" s="1"/>
  <c r="N415" i="3"/>
  <c r="O415" i="3" s="1"/>
  <c r="N416" i="3"/>
  <c r="O416" i="3" s="1"/>
  <c r="N417" i="3"/>
  <c r="O417" i="3" s="1"/>
  <c r="N418" i="3"/>
  <c r="O418" i="3" s="1"/>
  <c r="N419" i="3"/>
  <c r="O419" i="3" s="1"/>
  <c r="N420" i="3"/>
  <c r="O420" i="3" s="1"/>
  <c r="N421" i="3"/>
  <c r="O421" i="3" s="1"/>
  <c r="N422" i="3"/>
  <c r="O422" i="3" s="1"/>
  <c r="N423" i="3"/>
  <c r="O423" i="3" s="1"/>
  <c r="N424" i="3"/>
  <c r="O424" i="3" s="1"/>
  <c r="N425" i="3"/>
  <c r="O425" i="3" s="1"/>
  <c r="N427" i="3"/>
  <c r="O427" i="3" s="1"/>
  <c r="N428" i="3"/>
  <c r="O428" i="3" s="1"/>
  <c r="N429" i="3"/>
  <c r="O429" i="3" s="1"/>
  <c r="N430" i="3"/>
  <c r="O430" i="3" s="1"/>
  <c r="N431" i="3"/>
  <c r="O431" i="3" s="1"/>
  <c r="N432" i="3"/>
  <c r="O432" i="3" s="1"/>
  <c r="N433" i="3"/>
  <c r="O433" i="3" s="1"/>
  <c r="N434" i="3"/>
  <c r="O434" i="3" s="1"/>
  <c r="N435" i="3"/>
  <c r="O435" i="3" s="1"/>
  <c r="N436" i="3"/>
  <c r="O436" i="3" s="1"/>
  <c r="N437" i="3"/>
  <c r="O437" i="3" s="1"/>
  <c r="N438" i="3"/>
  <c r="O438" i="3" s="1"/>
  <c r="N441" i="3"/>
  <c r="O441" i="3" s="1"/>
  <c r="N409" i="3"/>
  <c r="O409" i="3" s="1"/>
  <c r="O304" i="3"/>
  <c r="O301" i="3"/>
  <c r="O302" i="3"/>
  <c r="O303" i="3"/>
  <c r="O325" i="3"/>
  <c r="O321" i="3"/>
  <c r="O311" i="3"/>
  <c r="O309" i="3"/>
  <c r="O322" i="3"/>
  <c r="O323" i="3"/>
  <c r="O324" i="3"/>
  <c r="O310" i="3"/>
  <c r="K256" i="3"/>
  <c r="O256" i="3" s="1"/>
  <c r="K255" i="3"/>
  <c r="O255" i="3" s="1"/>
  <c r="K253" i="3"/>
  <c r="O253" i="3" s="1"/>
  <c r="O250" i="3"/>
  <c r="O199" i="3"/>
  <c r="O198" i="3"/>
  <c r="O237" i="3"/>
  <c r="O147" i="3"/>
  <c r="O146" i="3"/>
  <c r="O145" i="3"/>
  <c r="N143" i="3"/>
  <c r="O143" i="3" s="1"/>
  <c r="O142" i="3"/>
  <c r="N141" i="3"/>
  <c r="O141" i="3" s="1"/>
  <c r="O140" i="3"/>
  <c r="N139" i="3"/>
  <c r="O139" i="3" s="1"/>
  <c r="O138" i="3"/>
  <c r="O137" i="3"/>
  <c r="O136" i="3"/>
  <c r="N135" i="3"/>
  <c r="O135" i="3" s="1"/>
  <c r="N133" i="3"/>
  <c r="O133" i="3" s="1"/>
  <c r="O131" i="3"/>
  <c r="O134" i="3"/>
  <c r="O132" i="3"/>
  <c r="O130" i="3"/>
  <c r="O129" i="3"/>
  <c r="H147" i="3"/>
  <c r="H145" i="3"/>
  <c r="O144" i="3"/>
  <c r="H143" i="3"/>
  <c r="H141" i="3"/>
  <c r="H139" i="3"/>
  <c r="H137" i="3"/>
  <c r="H135" i="3"/>
  <c r="H133" i="3"/>
  <c r="H131" i="3"/>
  <c r="N240" i="3"/>
  <c r="O240" i="3" s="1"/>
  <c r="O239" i="3"/>
  <c r="N238" i="3"/>
  <c r="O238" i="3" s="1"/>
  <c r="N236" i="3"/>
  <c r="O236" i="3" s="1"/>
  <c r="O235" i="3"/>
  <c r="O234" i="3"/>
  <c r="O233" i="3"/>
  <c r="N232" i="3"/>
  <c r="O232" i="3" s="1"/>
  <c r="K231" i="3"/>
  <c r="O231" i="3" s="1"/>
  <c r="N230" i="3"/>
  <c r="O230" i="3" s="1"/>
  <c r="N228" i="3"/>
  <c r="O228" i="3" s="1"/>
  <c r="O227" i="3"/>
  <c r="O229" i="3"/>
  <c r="N214" i="3"/>
  <c r="O214" i="3" s="1"/>
  <c r="O216" i="3"/>
  <c r="O215" i="3"/>
  <c r="K213" i="3"/>
  <c r="O213" i="3" s="1"/>
  <c r="K217" i="3"/>
  <c r="O217" i="3" s="1"/>
  <c r="H218" i="3"/>
  <c r="N218" i="3"/>
  <c r="O218" i="3" s="1"/>
  <c r="K219" i="3"/>
  <c r="O219" i="3" s="1"/>
  <c r="H220" i="3"/>
  <c r="N220" i="3"/>
  <c r="O220" i="3" s="1"/>
  <c r="K221" i="3"/>
  <c r="O221" i="3" s="1"/>
  <c r="H222" i="3"/>
  <c r="N222" i="3"/>
  <c r="O222" i="3" s="1"/>
  <c r="K223" i="3"/>
  <c r="O223" i="3" s="1"/>
  <c r="H224" i="3"/>
  <c r="N224" i="3"/>
  <c r="O224" i="3" s="1"/>
  <c r="K225" i="3"/>
  <c r="O225" i="3" s="1"/>
  <c r="H226" i="3"/>
  <c r="N226" i="3"/>
  <c r="O226" i="3" s="1"/>
  <c r="H216" i="3"/>
  <c r="K211" i="3"/>
  <c r="O211" i="3" s="1"/>
  <c r="K209" i="3"/>
  <c r="O209" i="3" s="1"/>
  <c r="K207" i="3"/>
  <c r="O207" i="3" s="1"/>
  <c r="K205" i="3"/>
  <c r="O205" i="3" s="1"/>
  <c r="H214" i="3"/>
  <c r="N212" i="3"/>
  <c r="O212" i="3" s="1"/>
  <c r="N210" i="3"/>
  <c r="O210" i="3" s="1"/>
  <c r="N208" i="3"/>
  <c r="O208" i="3" s="1"/>
  <c r="N206" i="3"/>
  <c r="O206" i="3" s="1"/>
  <c r="K203" i="3"/>
  <c r="O203" i="3" s="1"/>
  <c r="N204" i="3"/>
  <c r="O204" i="3" s="1"/>
  <c r="O5336" i="3"/>
  <c r="O5335" i="3" s="1"/>
  <c r="O5334" i="3"/>
  <c r="O5333" i="3" s="1"/>
  <c r="N5332" i="3"/>
  <c r="O5332" i="3" s="1"/>
  <c r="O5331" i="3" s="1"/>
  <c r="N5330" i="3"/>
  <c r="O5330" i="3" s="1"/>
  <c r="O5329" i="3" s="1"/>
  <c r="N5328" i="3"/>
  <c r="O5328" i="3" s="1"/>
  <c r="O5327" i="3" s="1"/>
  <c r="O5326" i="3"/>
  <c r="O5325" i="3" s="1"/>
  <c r="O5324" i="3"/>
  <c r="O5323" i="3" s="1"/>
  <c r="O5322" i="3"/>
  <c r="O5321" i="3" s="1"/>
  <c r="N5320" i="3"/>
  <c r="O5320" i="3" s="1"/>
  <c r="O5319" i="3" s="1"/>
  <c r="N5318" i="3"/>
  <c r="O5318" i="3" s="1"/>
  <c r="O5317" i="3" s="1"/>
  <c r="N5316" i="3"/>
  <c r="O5316" i="3" s="1"/>
  <c r="O5315" i="3" s="1"/>
  <c r="N5314" i="3"/>
  <c r="O5314" i="3" s="1"/>
  <c r="O5313" i="3" s="1"/>
  <c r="N5312" i="3"/>
  <c r="O5312" i="3" s="1"/>
  <c r="O5311" i="3" s="1"/>
  <c r="O5310" i="3"/>
  <c r="O5309" i="3" s="1"/>
  <c r="O5308" i="3"/>
  <c r="O5307" i="3" s="1"/>
  <c r="O5306" i="3"/>
  <c r="O5305" i="3" s="1"/>
  <c r="O5304" i="3"/>
  <c r="O5303" i="3" s="1"/>
  <c r="O5302" i="3"/>
  <c r="O5301" i="3" s="1"/>
  <c r="O5300" i="3"/>
  <c r="O5299" i="3" s="1"/>
  <c r="O5298" i="3"/>
  <c r="O5297" i="3" s="1"/>
  <c r="N5296" i="3"/>
  <c r="O5296" i="3" s="1"/>
  <c r="O5295" i="3" s="1"/>
  <c r="O5294" i="3"/>
  <c r="O5293" i="3" s="1"/>
  <c r="O5292" i="3"/>
  <c r="O5291" i="3" s="1"/>
  <c r="O5290" i="3"/>
  <c r="O5289" i="3" s="1"/>
  <c r="O5288" i="3"/>
  <c r="O5287" i="3" s="1"/>
  <c r="O5286" i="3"/>
  <c r="O5285" i="3" s="1"/>
  <c r="O5284" i="3"/>
  <c r="O5283" i="3" s="1"/>
  <c r="N5282" i="3"/>
  <c r="O5282" i="3" s="1"/>
  <c r="O5281" i="3" s="1"/>
  <c r="O5280" i="3"/>
  <c r="O5279" i="3" s="1"/>
  <c r="C5279" i="3"/>
  <c r="C5281" i="3" s="1"/>
  <c r="E5278" i="3"/>
  <c r="O5277" i="3"/>
  <c r="O5276" i="3" s="1"/>
  <c r="O5275" i="3"/>
  <c r="O5274" i="3" s="1"/>
  <c r="O5273" i="3"/>
  <c r="O5272" i="3" s="1"/>
  <c r="O5271" i="3"/>
  <c r="O5270" i="3" s="1"/>
  <c r="O5269" i="3"/>
  <c r="O5268" i="3" s="1"/>
  <c r="O5267" i="3"/>
  <c r="O5266" i="3" s="1"/>
  <c r="O5265" i="3"/>
  <c r="O5264" i="3" s="1"/>
  <c r="O5263" i="3"/>
  <c r="O5262" i="3" s="1"/>
  <c r="O5261" i="3"/>
  <c r="O5260" i="3" s="1"/>
  <c r="O5259" i="3"/>
  <c r="O5258" i="3" s="1"/>
  <c r="O5257" i="3"/>
  <c r="O5256" i="3" s="1"/>
  <c r="O5255" i="3"/>
  <c r="O5254" i="3" s="1"/>
  <c r="O5253" i="3"/>
  <c r="O5252" i="3" s="1"/>
  <c r="O5251" i="3"/>
  <c r="O5250" i="3" s="1"/>
  <c r="O5249" i="3"/>
  <c r="O5248" i="3" s="1"/>
  <c r="O5247" i="3"/>
  <c r="O5246" i="3" s="1"/>
  <c r="O5245" i="3"/>
  <c r="O5244" i="3" s="1"/>
  <c r="O5243" i="3"/>
  <c r="O5242" i="3" s="1"/>
  <c r="O5241" i="3"/>
  <c r="O5240" i="3" s="1"/>
  <c r="C5240" i="3"/>
  <c r="C5242" i="3" s="1"/>
  <c r="E5239" i="3"/>
  <c r="O5238" i="3"/>
  <c r="O5237" i="3" s="1"/>
  <c r="E5237" i="3"/>
  <c r="E5236" i="3"/>
  <c r="K5228" i="3"/>
  <c r="O5228" i="3" s="1"/>
  <c r="O5227" i="3"/>
  <c r="N5225" i="3"/>
  <c r="O5225" i="3" s="1"/>
  <c r="O5224" i="3" s="1"/>
  <c r="O5223" i="3"/>
  <c r="O5222" i="3"/>
  <c r="K5220" i="3"/>
  <c r="O5220" i="3" s="1"/>
  <c r="O5219" i="3"/>
  <c r="O5217" i="3"/>
  <c r="K5216" i="3"/>
  <c r="O5216" i="3" s="1"/>
  <c r="O5215" i="3"/>
  <c r="O5214" i="3"/>
  <c r="K5212" i="3"/>
  <c r="O5212" i="3" s="1"/>
  <c r="O5211" i="3"/>
  <c r="O5210" i="3"/>
  <c r="N5208" i="3"/>
  <c r="O5208" i="3" s="1"/>
  <c r="O5207" i="3"/>
  <c r="O5205" i="3"/>
  <c r="O5204" i="3"/>
  <c r="O5203" i="3"/>
  <c r="O5202" i="3"/>
  <c r="O5200" i="3"/>
  <c r="O5199" i="3"/>
  <c r="O5197" i="3"/>
  <c r="O5196" i="3"/>
  <c r="O5194" i="3"/>
  <c r="O5193" i="3" s="1"/>
  <c r="O5192" i="3"/>
  <c r="O5191" i="3"/>
  <c r="O5190" i="3"/>
  <c r="O5188" i="3"/>
  <c r="O5187" i="3"/>
  <c r="O5186" i="3"/>
  <c r="O5185" i="3"/>
  <c r="O5184" i="3"/>
  <c r="O5182" i="3"/>
  <c r="O5181" i="3"/>
  <c r="O5180" i="3"/>
  <c r="O5178" i="3"/>
  <c r="O5177" i="3" s="1"/>
  <c r="C5177" i="3"/>
  <c r="C5179" i="3" s="1"/>
  <c r="E5176" i="3"/>
  <c r="O5175" i="3"/>
  <c r="O5174" i="3" s="1"/>
  <c r="C5174" i="3"/>
  <c r="E5174" i="3" s="1"/>
  <c r="E5173" i="3"/>
  <c r="C5157" i="3"/>
  <c r="C5159" i="3" s="1"/>
  <c r="E5156" i="3"/>
  <c r="O5155" i="3"/>
  <c r="O5154" i="3" s="1"/>
  <c r="C5154" i="3"/>
  <c r="E5154" i="3" s="1"/>
  <c r="E5153" i="3"/>
  <c r="C5131" i="3"/>
  <c r="E5131" i="3" s="1"/>
  <c r="E5130" i="3"/>
  <c r="O5129" i="3"/>
  <c r="O5128" i="3" s="1"/>
  <c r="O5127" i="3"/>
  <c r="O5126" i="3" s="1"/>
  <c r="O5125" i="3"/>
  <c r="O5124" i="3" s="1"/>
  <c r="O5123" i="3"/>
  <c r="O5122" i="3" s="1"/>
  <c r="O5121" i="3"/>
  <c r="O5120" i="3" s="1"/>
  <c r="O5119" i="3"/>
  <c r="O5118" i="3" s="1"/>
  <c r="O5117" i="3"/>
  <c r="O5116" i="3" s="1"/>
  <c r="O5115" i="3"/>
  <c r="O5114" i="3" s="1"/>
  <c r="O5113" i="3"/>
  <c r="O5112" i="3" s="1"/>
  <c r="O5111" i="3"/>
  <c r="O5110" i="3" s="1"/>
  <c r="O5109" i="3"/>
  <c r="O5108" i="3" s="1"/>
  <c r="O5107" i="3"/>
  <c r="O5106" i="3" s="1"/>
  <c r="O5105" i="3"/>
  <c r="O5104" i="3" s="1"/>
  <c r="O5103" i="3"/>
  <c r="O5102" i="3" s="1"/>
  <c r="O5101" i="3"/>
  <c r="O5100" i="3" s="1"/>
  <c r="O5099" i="3"/>
  <c r="O5098" i="3" s="1"/>
  <c r="O5097" i="3"/>
  <c r="O5096" i="3" s="1"/>
  <c r="O5095" i="3"/>
  <c r="O5094" i="3" s="1"/>
  <c r="O5093" i="3"/>
  <c r="O5092" i="3" s="1"/>
  <c r="O5091" i="3"/>
  <c r="O5090" i="3" s="1"/>
  <c r="O5089" i="3"/>
  <c r="O5088" i="3" s="1"/>
  <c r="O5087" i="3"/>
  <c r="O5086" i="3" s="1"/>
  <c r="O5085" i="3"/>
  <c r="O5084" i="3" s="1"/>
  <c r="O5083" i="3"/>
  <c r="O5082" i="3" s="1"/>
  <c r="C5082" i="3"/>
  <c r="C5084" i="3" s="1"/>
  <c r="E5081" i="3"/>
  <c r="O5080" i="3"/>
  <c r="O5079" i="3" s="1"/>
  <c r="O5078" i="3"/>
  <c r="O5077" i="3"/>
  <c r="O5076" i="3"/>
  <c r="O5074" i="3"/>
  <c r="O5073" i="3"/>
  <c r="O5071" i="3"/>
  <c r="O5070" i="3"/>
  <c r="O5068" i="3"/>
  <c r="O5067" i="3"/>
  <c r="O5066" i="3"/>
  <c r="O5065" i="3"/>
  <c r="O5064" i="3"/>
  <c r="O5062" i="3"/>
  <c r="O5061" i="3" s="1"/>
  <c r="O5060" i="3"/>
  <c r="O5059" i="3" s="1"/>
  <c r="O5058" i="3"/>
  <c r="O5057" i="3"/>
  <c r="O5055" i="3"/>
  <c r="O5054" i="3" s="1"/>
  <c r="O5053" i="3"/>
  <c r="O5052" i="3"/>
  <c r="C5050" i="3"/>
  <c r="O5049" i="3"/>
  <c r="O5048" i="3"/>
  <c r="O5047" i="3"/>
  <c r="O5046" i="3"/>
  <c r="O5045" i="3"/>
  <c r="O5044" i="3"/>
  <c r="O5042" i="3"/>
  <c r="O5041" i="3"/>
  <c r="O5040" i="3"/>
  <c r="O5039" i="3"/>
  <c r="O5037" i="3"/>
  <c r="O5036" i="3"/>
  <c r="O5035" i="3"/>
  <c r="O5034" i="3"/>
  <c r="O5032" i="3"/>
  <c r="O5031" i="3" s="1"/>
  <c r="O5030" i="3"/>
  <c r="O5029" i="3" s="1"/>
  <c r="O5028" i="3"/>
  <c r="O5027" i="3" s="1"/>
  <c r="O5026" i="3"/>
  <c r="O5025" i="3"/>
  <c r="O5024" i="3"/>
  <c r="O5022" i="3"/>
  <c r="O5021" i="3"/>
  <c r="O5020" i="3"/>
  <c r="O5018" i="3"/>
  <c r="O5017" i="3"/>
  <c r="O5015" i="3"/>
  <c r="O5014" i="3" s="1"/>
  <c r="O5013" i="3"/>
  <c r="O5012" i="3"/>
  <c r="O5011" i="3"/>
  <c r="O5009" i="3"/>
  <c r="O5008" i="3"/>
  <c r="O5006" i="3"/>
  <c r="O5005" i="3"/>
  <c r="O5003" i="3"/>
  <c r="O5002" i="3"/>
  <c r="O5001" i="3"/>
  <c r="O5000" i="3"/>
  <c r="O4998" i="3"/>
  <c r="O4997" i="3"/>
  <c r="O4996" i="3"/>
  <c r="O4994" i="3"/>
  <c r="O4993" i="3"/>
  <c r="O4991" i="3"/>
  <c r="O4990" i="3"/>
  <c r="O4989" i="3"/>
  <c r="O4988" i="3"/>
  <c r="O4987" i="3"/>
  <c r="O4986" i="3"/>
  <c r="O4985" i="3"/>
  <c r="O4984" i="3"/>
  <c r="O4983" i="3"/>
  <c r="O4982" i="3"/>
  <c r="O4980" i="3"/>
  <c r="O4979" i="3"/>
  <c r="O4978" i="3"/>
  <c r="O4977" i="3"/>
  <c r="O4975" i="3"/>
  <c r="O4974" i="3"/>
  <c r="O4973" i="3"/>
  <c r="O4972" i="3"/>
  <c r="O4970" i="3"/>
  <c r="O4969" i="3"/>
  <c r="O4967" i="3"/>
  <c r="O4966" i="3"/>
  <c r="O4965" i="3"/>
  <c r="O4964" i="3"/>
  <c r="O4962" i="3"/>
  <c r="O4961" i="3"/>
  <c r="O4960" i="3"/>
  <c r="O4959" i="3"/>
  <c r="O4958" i="3"/>
  <c r="O4957" i="3"/>
  <c r="O4956" i="3"/>
  <c r="O4955" i="3"/>
  <c r="O4953" i="3"/>
  <c r="O4952" i="3" s="1"/>
  <c r="O4951" i="3"/>
  <c r="O4950" i="3" s="1"/>
  <c r="O4949" i="3"/>
  <c r="O4948" i="3"/>
  <c r="O4946" i="3"/>
  <c r="O4945" i="3"/>
  <c r="O4943" i="3"/>
  <c r="O4942" i="3"/>
  <c r="O4940" i="3"/>
  <c r="O4939" i="3" s="1"/>
  <c r="O4938" i="3"/>
  <c r="O4937" i="3"/>
  <c r="O4935" i="3"/>
  <c r="O4934" i="3"/>
  <c r="O4932" i="3"/>
  <c r="O4931" i="3"/>
  <c r="O4929" i="3"/>
  <c r="O4928" i="3" s="1"/>
  <c r="O4927" i="3"/>
  <c r="O4926" i="3" s="1"/>
  <c r="O4925" i="3"/>
  <c r="O4924" i="3" s="1"/>
  <c r="O4923" i="3"/>
  <c r="O4922" i="3"/>
  <c r="O4920" i="3"/>
  <c r="O4919" i="3"/>
  <c r="O4918" i="3"/>
  <c r="O4916" i="3"/>
  <c r="O4915" i="3"/>
  <c r="O4914" i="3"/>
  <c r="O4912" i="3"/>
  <c r="O4911" i="3" s="1"/>
  <c r="O4910" i="3"/>
  <c r="O4909" i="3"/>
  <c r="O4908" i="3"/>
  <c r="O4907" i="3"/>
  <c r="O4905" i="3"/>
  <c r="O4904" i="3"/>
  <c r="O4903" i="3"/>
  <c r="O4902" i="3"/>
  <c r="O4901" i="3"/>
  <c r="O4899" i="3"/>
  <c r="O4898" i="3"/>
  <c r="O4897" i="3"/>
  <c r="O4896" i="3"/>
  <c r="O4895" i="3"/>
  <c r="C4894" i="3"/>
  <c r="C4900" i="3" s="1"/>
  <c r="C4906" i="3" s="1"/>
  <c r="O4893" i="3"/>
  <c r="O4892" i="3"/>
  <c r="O4891" i="3"/>
  <c r="O4890" i="3"/>
  <c r="E4889" i="3"/>
  <c r="E4888" i="3"/>
  <c r="O4887" i="3"/>
  <c r="O4886" i="3" s="1"/>
  <c r="O4885" i="3"/>
  <c r="O4884" i="3" s="1"/>
  <c r="O4883" i="3"/>
  <c r="O4882" i="3" s="1"/>
  <c r="O4881" i="3"/>
  <c r="O4880" i="3" s="1"/>
  <c r="C4880" i="3"/>
  <c r="E4879" i="3"/>
  <c r="O4878" i="3"/>
  <c r="O4877" i="3" s="1"/>
  <c r="O4876" i="3"/>
  <c r="O4875" i="3" s="1"/>
  <c r="O4874" i="3"/>
  <c r="O4873" i="3" s="1"/>
  <c r="O4872" i="3"/>
  <c r="O4871" i="3" s="1"/>
  <c r="O4870" i="3"/>
  <c r="O4869" i="3" s="1"/>
  <c r="O4868" i="3"/>
  <c r="O4867" i="3" s="1"/>
  <c r="O4866" i="3"/>
  <c r="O4865" i="3" s="1"/>
  <c r="O4864" i="3"/>
  <c r="O4863" i="3" s="1"/>
  <c r="O4862" i="3"/>
  <c r="O4861" i="3" s="1"/>
  <c r="O4860" i="3"/>
  <c r="O4859" i="3" s="1"/>
  <c r="O4858" i="3"/>
  <c r="O4857" i="3" s="1"/>
  <c r="O4856" i="3"/>
  <c r="O4855" i="3" s="1"/>
  <c r="O4854" i="3"/>
  <c r="O4853" i="3" s="1"/>
  <c r="O4852" i="3"/>
  <c r="O4851" i="3" s="1"/>
  <c r="O4850" i="3"/>
  <c r="O4849" i="3" s="1"/>
  <c r="O4848" i="3"/>
  <c r="O4847" i="3" s="1"/>
  <c r="O4846" i="3"/>
  <c r="O4845" i="3" s="1"/>
  <c r="O4844" i="3"/>
  <c r="O4843" i="3" s="1"/>
  <c r="O4842" i="3"/>
  <c r="O4841" i="3" s="1"/>
  <c r="O4840" i="3"/>
  <c r="O4839" i="3" s="1"/>
  <c r="O4838" i="3"/>
  <c r="O4837" i="3" s="1"/>
  <c r="O4836" i="3"/>
  <c r="O4835" i="3" s="1"/>
  <c r="O4834" i="3"/>
  <c r="O4833" i="3" s="1"/>
  <c r="O4832" i="3"/>
  <c r="O4831" i="3" s="1"/>
  <c r="O4830" i="3"/>
  <c r="O4829" i="3" s="1"/>
  <c r="O4828" i="3"/>
  <c r="O4827" i="3" s="1"/>
  <c r="O4826" i="3"/>
  <c r="O4825" i="3" s="1"/>
  <c r="O4824" i="3"/>
  <c r="O4823" i="3" s="1"/>
  <c r="O4822" i="3"/>
  <c r="O4821" i="3" s="1"/>
  <c r="O4820" i="3"/>
  <c r="O4819" i="3" s="1"/>
  <c r="O4818" i="3"/>
  <c r="O4817" i="3" s="1"/>
  <c r="O4816" i="3"/>
  <c r="O4815" i="3" s="1"/>
  <c r="O4814" i="3"/>
  <c r="O4813" i="3" s="1"/>
  <c r="O4812" i="3"/>
  <c r="O4811" i="3" s="1"/>
  <c r="O4810" i="3"/>
  <c r="O4809" i="3" s="1"/>
  <c r="O4808" i="3"/>
  <c r="O4807" i="3" s="1"/>
  <c r="O4806" i="3"/>
  <c r="O4805" i="3" s="1"/>
  <c r="O4804" i="3"/>
  <c r="O4803" i="3" s="1"/>
  <c r="O4802" i="3"/>
  <c r="O4801" i="3" s="1"/>
  <c r="O4800" i="3"/>
  <c r="O4799" i="3" s="1"/>
  <c r="O4798" i="3"/>
  <c r="O4797" i="3" s="1"/>
  <c r="O4796" i="3"/>
  <c r="O4795" i="3" s="1"/>
  <c r="O4794" i="3"/>
  <c r="O4793" i="3" s="1"/>
  <c r="C4793" i="3"/>
  <c r="C4795" i="3" s="1"/>
  <c r="E4792" i="3"/>
  <c r="O4786" i="3"/>
  <c r="O4785" i="3" s="1"/>
  <c r="O4784" i="3"/>
  <c r="O4783" i="3" s="1"/>
  <c r="O4776" i="3"/>
  <c r="O4775" i="3" s="1"/>
  <c r="C4775" i="3"/>
  <c r="C4777" i="3" s="1"/>
  <c r="C4779" i="3" s="1"/>
  <c r="E4779" i="3" s="1"/>
  <c r="E4774" i="3"/>
  <c r="O4773" i="3"/>
  <c r="O4772" i="3" s="1"/>
  <c r="O4771" i="3"/>
  <c r="O4770" i="3" s="1"/>
  <c r="O4769" i="3"/>
  <c r="O4768" i="3" s="1"/>
  <c r="O4767" i="3"/>
  <c r="O4766" i="3" s="1"/>
  <c r="O4765" i="3"/>
  <c r="O4764" i="3" s="1"/>
  <c r="O4763" i="3"/>
  <c r="O4762" i="3" s="1"/>
  <c r="O4761" i="3"/>
  <c r="O4760" i="3" s="1"/>
  <c r="O4759" i="3"/>
  <c r="O4758" i="3" s="1"/>
  <c r="C4758" i="3"/>
  <c r="C4760" i="3" s="1"/>
  <c r="O4750" i="3"/>
  <c r="O4749" i="3" s="1"/>
  <c r="E4749" i="3"/>
  <c r="O4748" i="3"/>
  <c r="O4747" i="3" s="1"/>
  <c r="E4747" i="3"/>
  <c r="O4746" i="3"/>
  <c r="O4745" i="3" s="1"/>
  <c r="E4745" i="3"/>
  <c r="E4744" i="3"/>
  <c r="O4743" i="3"/>
  <c r="O4742" i="3" s="1"/>
  <c r="O4741" i="3"/>
  <c r="O4740" i="3" s="1"/>
  <c r="O4739" i="3"/>
  <c r="O4738" i="3" s="1"/>
  <c r="O4737" i="3"/>
  <c r="O4736" i="3" s="1"/>
  <c r="O4735" i="3"/>
  <c r="O4734" i="3" s="1"/>
  <c r="D4734" i="3"/>
  <c r="E4734" i="3" s="1"/>
  <c r="O4733" i="3"/>
  <c r="O4732" i="3" s="1"/>
  <c r="E4732" i="3"/>
  <c r="E4731" i="3"/>
  <c r="O4730" i="3"/>
  <c r="O4729" i="3" s="1"/>
  <c r="O4728" i="3"/>
  <c r="O4727" i="3" s="1"/>
  <c r="O4726" i="3"/>
  <c r="O4725" i="3" s="1"/>
  <c r="O4724" i="3"/>
  <c r="O4723" i="3" s="1"/>
  <c r="O4722" i="3"/>
  <c r="O4721" i="3" s="1"/>
  <c r="O4720" i="3"/>
  <c r="O4719" i="3" s="1"/>
  <c r="O4718" i="3"/>
  <c r="O4717" i="3" s="1"/>
  <c r="O4716" i="3"/>
  <c r="O4715" i="3" s="1"/>
  <c r="O4714" i="3"/>
  <c r="O4713" i="3" s="1"/>
  <c r="O4712" i="3"/>
  <c r="O4711" i="3" s="1"/>
  <c r="O4710" i="3"/>
  <c r="O4709" i="3" s="1"/>
  <c r="O4708" i="3"/>
  <c r="O4707" i="3" s="1"/>
  <c r="O4706" i="3"/>
  <c r="O4705" i="3"/>
  <c r="N4703" i="3"/>
  <c r="O4703" i="3" s="1"/>
  <c r="O4702" i="3" s="1"/>
  <c r="O4701" i="3"/>
  <c r="O4700" i="3" s="1"/>
  <c r="O4699" i="3"/>
  <c r="O4698" i="3" s="1"/>
  <c r="O4697" i="3"/>
  <c r="O4696" i="3" s="1"/>
  <c r="O4695" i="3"/>
  <c r="O4694" i="3" s="1"/>
  <c r="O4693" i="3"/>
  <c r="O4692" i="3"/>
  <c r="O4690" i="3"/>
  <c r="O4689" i="3" s="1"/>
  <c r="D4689" i="3"/>
  <c r="D4691" i="3" s="1"/>
  <c r="E4691" i="3" s="1"/>
  <c r="O4688" i="3"/>
  <c r="O4687" i="3" s="1"/>
  <c r="E4687" i="3"/>
  <c r="E4686" i="3"/>
  <c r="O4685" i="3"/>
  <c r="O4684" i="3" s="1"/>
  <c r="O4683" i="3"/>
  <c r="O4682" i="3" s="1"/>
  <c r="O4681" i="3"/>
  <c r="O4680" i="3" s="1"/>
  <c r="O4679" i="3"/>
  <c r="O4678" i="3" s="1"/>
  <c r="O4677" i="3"/>
  <c r="O4676" i="3" s="1"/>
  <c r="O4675" i="3"/>
  <c r="O4674" i="3" s="1"/>
  <c r="O4673" i="3"/>
  <c r="O4672" i="3" s="1"/>
  <c r="O4671" i="3"/>
  <c r="O4670" i="3" s="1"/>
  <c r="O4669" i="3"/>
  <c r="O4668" i="3" s="1"/>
  <c r="O4667" i="3"/>
  <c r="O4666" i="3" s="1"/>
  <c r="O4665" i="3"/>
  <c r="O4664" i="3" s="1"/>
  <c r="O4663" i="3"/>
  <c r="O4662" i="3" s="1"/>
  <c r="O4661" i="3"/>
  <c r="O4660" i="3" s="1"/>
  <c r="D4660" i="3"/>
  <c r="E4660" i="3" s="1"/>
  <c r="O4659" i="3"/>
  <c r="O4658" i="3" s="1"/>
  <c r="O4657" i="3"/>
  <c r="O4656" i="3" s="1"/>
  <c r="O4651" i="3"/>
  <c r="O4650" i="3" s="1"/>
  <c r="O4649" i="3"/>
  <c r="O4648" i="3" s="1"/>
  <c r="D4648" i="3"/>
  <c r="D4650" i="3" s="1"/>
  <c r="E4647" i="3"/>
  <c r="O4646" i="3"/>
  <c r="O4645" i="3" s="1"/>
  <c r="O4644" i="3"/>
  <c r="O4643" i="3" s="1"/>
  <c r="O4642" i="3"/>
  <c r="O4641" i="3" s="1"/>
  <c r="O4640" i="3"/>
  <c r="O4639" i="3" s="1"/>
  <c r="O4638" i="3"/>
  <c r="O4637" i="3" s="1"/>
  <c r="O4636" i="3"/>
  <c r="O4635" i="3" s="1"/>
  <c r="O4634" i="3"/>
  <c r="O4633" i="3" s="1"/>
  <c r="O4632" i="3"/>
  <c r="O4631" i="3" s="1"/>
  <c r="O4630" i="3"/>
  <c r="O4629" i="3" s="1"/>
  <c r="O4628" i="3"/>
  <c r="O4627" i="3" s="1"/>
  <c r="O4626" i="3"/>
  <c r="O4625" i="3" s="1"/>
  <c r="O4624" i="3"/>
  <c r="O4623" i="3" s="1"/>
  <c r="O4622" i="3"/>
  <c r="O4621" i="3" s="1"/>
  <c r="O4620" i="3"/>
  <c r="O4619" i="3" s="1"/>
  <c r="O4618" i="3"/>
  <c r="O4617" i="3" s="1"/>
  <c r="O4616" i="3"/>
  <c r="O4615" i="3" s="1"/>
  <c r="O4614" i="3"/>
  <c r="O4613" i="3" s="1"/>
  <c r="O4612" i="3"/>
  <c r="O4611" i="3" s="1"/>
  <c r="O4610" i="3"/>
  <c r="O4609" i="3" s="1"/>
  <c r="O4608" i="3"/>
  <c r="O4607" i="3" s="1"/>
  <c r="O4606" i="3"/>
  <c r="O4605" i="3" s="1"/>
  <c r="O4604" i="3"/>
  <c r="O4603" i="3" s="1"/>
  <c r="O4602" i="3"/>
  <c r="O4601" i="3" s="1"/>
  <c r="O4600" i="3"/>
  <c r="O4599" i="3" s="1"/>
  <c r="O4598" i="3"/>
  <c r="O4597" i="3" s="1"/>
  <c r="O4596" i="3"/>
  <c r="O4595" i="3" s="1"/>
  <c r="O4594" i="3"/>
  <c r="O4593" i="3" s="1"/>
  <c r="D4593" i="3"/>
  <c r="E4593" i="3" s="1"/>
  <c r="O4592" i="3"/>
  <c r="O4591" i="3" s="1"/>
  <c r="E4591" i="3"/>
  <c r="E4590" i="3"/>
  <c r="E4589" i="3"/>
  <c r="O4588" i="3"/>
  <c r="O4587" i="3" s="1"/>
  <c r="O4586" i="3"/>
  <c r="O4585" i="3" s="1"/>
  <c r="O4584" i="3"/>
  <c r="O4583" i="3" s="1"/>
  <c r="O4582" i="3"/>
  <c r="O4581" i="3" s="1"/>
  <c r="O4580" i="3"/>
  <c r="O4579" i="3" s="1"/>
  <c r="O4578" i="3"/>
  <c r="O4577" i="3" s="1"/>
  <c r="O4576" i="3"/>
  <c r="O4575" i="3" s="1"/>
  <c r="O4574" i="3"/>
  <c r="O4573" i="3" s="1"/>
  <c r="O4572" i="3"/>
  <c r="O4571" i="3" s="1"/>
  <c r="O4570" i="3"/>
  <c r="O4569" i="3" s="1"/>
  <c r="O4568" i="3"/>
  <c r="O4567" i="3" s="1"/>
  <c r="O4566" i="3"/>
  <c r="O4565" i="3" s="1"/>
  <c r="O4564" i="3"/>
  <c r="O4563" i="3" s="1"/>
  <c r="N4562" i="3"/>
  <c r="O4562" i="3" s="1"/>
  <c r="O4561" i="3" s="1"/>
  <c r="N4560" i="3"/>
  <c r="O4560" i="3" s="1"/>
  <c r="O4559" i="3" s="1"/>
  <c r="N4558" i="3"/>
  <c r="O4558" i="3" s="1"/>
  <c r="O4557" i="3" s="1"/>
  <c r="O4556" i="3"/>
  <c r="O4555" i="3" s="1"/>
  <c r="O4554" i="3"/>
  <c r="O4553" i="3" s="1"/>
  <c r="O4552" i="3"/>
  <c r="O4551" i="3" s="1"/>
  <c r="O4550" i="3"/>
  <c r="O4549" i="3" s="1"/>
  <c r="O4548" i="3"/>
  <c r="O4547" i="3" s="1"/>
  <c r="O4546" i="3"/>
  <c r="O4545" i="3" s="1"/>
  <c r="O4544" i="3"/>
  <c r="O4543" i="3" s="1"/>
  <c r="O4542" i="3"/>
  <c r="O4541" i="3" s="1"/>
  <c r="O4540" i="3"/>
  <c r="O4539" i="3" s="1"/>
  <c r="O4538" i="3"/>
  <c r="O4537" i="3" s="1"/>
  <c r="N4536" i="3"/>
  <c r="O4536" i="3" s="1"/>
  <c r="O4535" i="3" s="1"/>
  <c r="O4534" i="3"/>
  <c r="O4533" i="3" s="1"/>
  <c r="O4532" i="3"/>
  <c r="O4531" i="3" s="1"/>
  <c r="O4530" i="3"/>
  <c r="O4529" i="3" s="1"/>
  <c r="O4528" i="3"/>
  <c r="O4527" i="3" s="1"/>
  <c r="O4526" i="3"/>
  <c r="O4525" i="3" s="1"/>
  <c r="O4524" i="3"/>
  <c r="O4523" i="3" s="1"/>
  <c r="N4522" i="3"/>
  <c r="O4522" i="3" s="1"/>
  <c r="O4521" i="3" s="1"/>
  <c r="O4520" i="3"/>
  <c r="O4519" i="3" s="1"/>
  <c r="O4518" i="3"/>
  <c r="O4517" i="3" s="1"/>
  <c r="O4516" i="3"/>
  <c r="O4515" i="3" s="1"/>
  <c r="O4514" i="3"/>
  <c r="O4513" i="3" s="1"/>
  <c r="C4513" i="3"/>
  <c r="E4513" i="3" s="1"/>
  <c r="E4512" i="3"/>
  <c r="O4507" i="3"/>
  <c r="O4506" i="3" s="1"/>
  <c r="O4505" i="3"/>
  <c r="O4503" i="3"/>
  <c r="O4502" i="3" s="1"/>
  <c r="O4501" i="3"/>
  <c r="O4500" i="3" s="1"/>
  <c r="C4500" i="3"/>
  <c r="C4502" i="3" s="1"/>
  <c r="O4499" i="3"/>
  <c r="O4498" i="3" s="1"/>
  <c r="E4498" i="3"/>
  <c r="E4497" i="3"/>
  <c r="O4487" i="3"/>
  <c r="O4486" i="3" s="1"/>
  <c r="O4484" i="3"/>
  <c r="O4474" i="3"/>
  <c r="O4473" i="3"/>
  <c r="O4472" i="3" s="1"/>
  <c r="C4472" i="3"/>
  <c r="O4463" i="3"/>
  <c r="O4462" i="3" s="1"/>
  <c r="E4462" i="3"/>
  <c r="E4461" i="3"/>
  <c r="C4426" i="3"/>
  <c r="C4433" i="3" s="1"/>
  <c r="C4440" i="3" s="1"/>
  <c r="E4440" i="3" s="1"/>
  <c r="O4421" i="3"/>
  <c r="O4419" i="3" s="1"/>
  <c r="E4419" i="3"/>
  <c r="E4418" i="3"/>
  <c r="O4413" i="3"/>
  <c r="E4413" i="3"/>
  <c r="E4412" i="3"/>
  <c r="O4409" i="3"/>
  <c r="O4408" i="3" s="1"/>
  <c r="C4408" i="3"/>
  <c r="E4408" i="3" s="1"/>
  <c r="O4407" i="3"/>
  <c r="E4406" i="3"/>
  <c r="E4405" i="3"/>
  <c r="O4394" i="3"/>
  <c r="O4393" i="3" s="1"/>
  <c r="E4393" i="3"/>
  <c r="E4390" i="3"/>
  <c r="O4388" i="3"/>
  <c r="O4387" i="3" s="1"/>
  <c r="E4387" i="3"/>
  <c r="O4377" i="3"/>
  <c r="O4376" i="3" s="1"/>
  <c r="E4376" i="3"/>
  <c r="E4375" i="3"/>
  <c r="O4374" i="3"/>
  <c r="O4373" i="3" s="1"/>
  <c r="E4373" i="3"/>
  <c r="E4372" i="3"/>
  <c r="O4371" i="3"/>
  <c r="O4370" i="3" s="1"/>
  <c r="E4370" i="3"/>
  <c r="O4369" i="3"/>
  <c r="O4368" i="3" s="1"/>
  <c r="E4368" i="3"/>
  <c r="O4364" i="3"/>
  <c r="O4363" i="3" s="1"/>
  <c r="O4362" i="3"/>
  <c r="O4361" i="3" s="1"/>
  <c r="O4360" i="3"/>
  <c r="O4359" i="3" s="1"/>
  <c r="O4358" i="3"/>
  <c r="O4357" i="3" s="1"/>
  <c r="D4353" i="3"/>
  <c r="D4355" i="3" s="1"/>
  <c r="D4357" i="3" s="1"/>
  <c r="O4352" i="3"/>
  <c r="O4351" i="3" s="1"/>
  <c r="E4351" i="3"/>
  <c r="O4350" i="3"/>
  <c r="O4349" i="3" s="1"/>
  <c r="D4340" i="3"/>
  <c r="E4340" i="3" s="1"/>
  <c r="O4339" i="3"/>
  <c r="O4338" i="3" s="1"/>
  <c r="E4338" i="3"/>
  <c r="E4337" i="3"/>
  <c r="O4313" i="3"/>
  <c r="O4312" i="3" s="1"/>
  <c r="O4311" i="3"/>
  <c r="O4310" i="3" s="1"/>
  <c r="O4309" i="3"/>
  <c r="O4308" i="3" s="1"/>
  <c r="O4307" i="3"/>
  <c r="O4306" i="3" s="1"/>
  <c r="O4305" i="3"/>
  <c r="O4304" i="3" s="1"/>
  <c r="D4304" i="3"/>
  <c r="O4303" i="3"/>
  <c r="O4302" i="3" s="1"/>
  <c r="E4302" i="3"/>
  <c r="E4301" i="3"/>
  <c r="O4291" i="3"/>
  <c r="O4290" i="3" s="1"/>
  <c r="C4286" i="3"/>
  <c r="C4288" i="3" s="1"/>
  <c r="O4285" i="3"/>
  <c r="O4284" i="3" s="1"/>
  <c r="E4284" i="3"/>
  <c r="E4283" i="3"/>
  <c r="O4282" i="3"/>
  <c r="O4281" i="3" s="1"/>
  <c r="O4280" i="3"/>
  <c r="O4279" i="3" s="1"/>
  <c r="O4278" i="3"/>
  <c r="O4277" i="3" s="1"/>
  <c r="O4276" i="3"/>
  <c r="O4275" i="3" s="1"/>
  <c r="O4274" i="3"/>
  <c r="O4273" i="3" s="1"/>
  <c r="N4272" i="3"/>
  <c r="O4272" i="3" s="1"/>
  <c r="O4271" i="3" s="1"/>
  <c r="O4270" i="3"/>
  <c r="O4269" i="3" s="1"/>
  <c r="O4268" i="3"/>
  <c r="O4267" i="3" s="1"/>
  <c r="O4266" i="3"/>
  <c r="O4265" i="3" s="1"/>
  <c r="O4264" i="3"/>
  <c r="O4263" i="3" s="1"/>
  <c r="O4262" i="3"/>
  <c r="O4261" i="3" s="1"/>
  <c r="O4260" i="3"/>
  <c r="O4259" i="3" s="1"/>
  <c r="O4258" i="3"/>
  <c r="O4257" i="3" s="1"/>
  <c r="O4256" i="3"/>
  <c r="O4255" i="3" s="1"/>
  <c r="O4254" i="3"/>
  <c r="O4253" i="3" s="1"/>
  <c r="O4252" i="3"/>
  <c r="O4251" i="3" s="1"/>
  <c r="O4250" i="3"/>
  <c r="O4249" i="3" s="1"/>
  <c r="O4248" i="3"/>
  <c r="O4247" i="3" s="1"/>
  <c r="O4246" i="3"/>
  <c r="O4245" i="3" s="1"/>
  <c r="C4245" i="3"/>
  <c r="E4245" i="3" s="1"/>
  <c r="O4244" i="3"/>
  <c r="O4243" i="3" s="1"/>
  <c r="E4243" i="3"/>
  <c r="O4235" i="3"/>
  <c r="O4234" i="3" s="1"/>
  <c r="O4233" i="3"/>
  <c r="O4232" i="3" s="1"/>
  <c r="O4231" i="3"/>
  <c r="O4230" i="3" s="1"/>
  <c r="O4229" i="3"/>
  <c r="O4228" i="3" s="1"/>
  <c r="C4228" i="3"/>
  <c r="E4228" i="3" s="1"/>
  <c r="O4227" i="3"/>
  <c r="O4226" i="3" s="1"/>
  <c r="E4226" i="3"/>
  <c r="O4220" i="3"/>
  <c r="O4219" i="3" s="1"/>
  <c r="O4218" i="3"/>
  <c r="O4217" i="3" s="1"/>
  <c r="O4216" i="3"/>
  <c r="O4215" i="3" s="1"/>
  <c r="D4215" i="3"/>
  <c r="E4215" i="3" s="1"/>
  <c r="O4214" i="3"/>
  <c r="O4213" i="3" s="1"/>
  <c r="E4213" i="3"/>
  <c r="E4212" i="3"/>
  <c r="O4211" i="3"/>
  <c r="O4210" i="3" s="1"/>
  <c r="O4209" i="3"/>
  <c r="O4208" i="3" s="1"/>
  <c r="O4207" i="3"/>
  <c r="O4206" i="3" s="1"/>
  <c r="O4205" i="3"/>
  <c r="O4204" i="3" s="1"/>
  <c r="O4203" i="3"/>
  <c r="O4202" i="3" s="1"/>
  <c r="O4201" i="3"/>
  <c r="O4200" i="3" s="1"/>
  <c r="O4199" i="3"/>
  <c r="O4198" i="3" s="1"/>
  <c r="O4197" i="3"/>
  <c r="O4196" i="3" s="1"/>
  <c r="O4195" i="3"/>
  <c r="O4194" i="3" s="1"/>
  <c r="O4193" i="3"/>
  <c r="O4192" i="3" s="1"/>
  <c r="O4191" i="3"/>
  <c r="O4190" i="3" s="1"/>
  <c r="D4190" i="3"/>
  <c r="D4192" i="3" s="1"/>
  <c r="O4189" i="3"/>
  <c r="O4188" i="3" s="1"/>
  <c r="E4188" i="3"/>
  <c r="E4187" i="3"/>
  <c r="O4186" i="3"/>
  <c r="O4185" i="3" s="1"/>
  <c r="O4184" i="3"/>
  <c r="O4183" i="3" s="1"/>
  <c r="O4182" i="3"/>
  <c r="O4181" i="3" s="1"/>
  <c r="O4180" i="3"/>
  <c r="O4179" i="3" s="1"/>
  <c r="O4178" i="3"/>
  <c r="O4177" i="3" s="1"/>
  <c r="O4176" i="3"/>
  <c r="O4175" i="3" s="1"/>
  <c r="O4174" i="3"/>
  <c r="O4173" i="3" s="1"/>
  <c r="O4172" i="3"/>
  <c r="O4171" i="3" s="1"/>
  <c r="O4170" i="3"/>
  <c r="O4169" i="3" s="1"/>
  <c r="D4169" i="3"/>
  <c r="E4168" i="3"/>
  <c r="O4167" i="3"/>
  <c r="O4166" i="3" s="1"/>
  <c r="O4165" i="3"/>
  <c r="O4164" i="3" s="1"/>
  <c r="O4163" i="3"/>
  <c r="O4162" i="3" s="1"/>
  <c r="O4161" i="3"/>
  <c r="O4160" i="3" s="1"/>
  <c r="O4159" i="3"/>
  <c r="O4158" i="3" s="1"/>
  <c r="O4157" i="3"/>
  <c r="O4156" i="3" s="1"/>
  <c r="O4155" i="3"/>
  <c r="O4154" i="3" s="1"/>
  <c r="O4153" i="3"/>
  <c r="O4152" i="3" s="1"/>
  <c r="O4151" i="3"/>
  <c r="O4150" i="3" s="1"/>
  <c r="O4149" i="3"/>
  <c r="O4148" i="3" s="1"/>
  <c r="O4147" i="3"/>
  <c r="O4146" i="3" s="1"/>
  <c r="O4145" i="3"/>
  <c r="O4144" i="3" s="1"/>
  <c r="D4144" i="3"/>
  <c r="D4146" i="3" s="1"/>
  <c r="O4143" i="3"/>
  <c r="O4142" i="3" s="1"/>
  <c r="E4142" i="3"/>
  <c r="E4141" i="3"/>
  <c r="E4140" i="3"/>
  <c r="O4139" i="3"/>
  <c r="O4138" i="3" s="1"/>
  <c r="O4137" i="3"/>
  <c r="O4136" i="3" s="1"/>
  <c r="O4135" i="3"/>
  <c r="O4134" i="3" s="1"/>
  <c r="O4133" i="3"/>
  <c r="O4132" i="3" s="1"/>
  <c r="O4131" i="3"/>
  <c r="O4130" i="3" s="1"/>
  <c r="N4129" i="3"/>
  <c r="O4129" i="3" s="1"/>
  <c r="O4128" i="3" s="1"/>
  <c r="O4127" i="3"/>
  <c r="O4126" i="3" s="1"/>
  <c r="O4125" i="3"/>
  <c r="O4124" i="3" s="1"/>
  <c r="O4123" i="3"/>
  <c r="O4122" i="3" s="1"/>
  <c r="O4121" i="3"/>
  <c r="O4120" i="3" s="1"/>
  <c r="O4119" i="3"/>
  <c r="O4118" i="3" s="1"/>
  <c r="O4117" i="3"/>
  <c r="O4116" i="3" s="1"/>
  <c r="O4115" i="3"/>
  <c r="O4114" i="3" s="1"/>
  <c r="O4113" i="3"/>
  <c r="O4112" i="3" s="1"/>
  <c r="O4111" i="3"/>
  <c r="O4110" i="3" s="1"/>
  <c r="O4109" i="3"/>
  <c r="O4108" i="3" s="1"/>
  <c r="O4107" i="3"/>
  <c r="O4106" i="3" s="1"/>
  <c r="O4105" i="3"/>
  <c r="O4104" i="3" s="1"/>
  <c r="O4103" i="3"/>
  <c r="O4102" i="3" s="1"/>
  <c r="O4101" i="3"/>
  <c r="O4100" i="3" s="1"/>
  <c r="O4099" i="3"/>
  <c r="O4098" i="3" s="1"/>
  <c r="O4097" i="3"/>
  <c r="O4096" i="3" s="1"/>
  <c r="N4095" i="3"/>
  <c r="O4095" i="3" s="1"/>
  <c r="O4094" i="3" s="1"/>
  <c r="O4093" i="3"/>
  <c r="O4092" i="3" s="1"/>
  <c r="O4091" i="3"/>
  <c r="O4090" i="3" s="1"/>
  <c r="O4089" i="3"/>
  <c r="O4088" i="3" s="1"/>
  <c r="O4087" i="3"/>
  <c r="O4086" i="3" s="1"/>
  <c r="O4085" i="3"/>
  <c r="O4084" i="3" s="1"/>
  <c r="O4083" i="3"/>
  <c r="O4082" i="3" s="1"/>
  <c r="O4081" i="3"/>
  <c r="O4080" i="3" s="1"/>
  <c r="O4079" i="3"/>
  <c r="O4078" i="3" s="1"/>
  <c r="O4077" i="3"/>
  <c r="O4076" i="3" s="1"/>
  <c r="O4075" i="3"/>
  <c r="O4074" i="3" s="1"/>
  <c r="N4073" i="3"/>
  <c r="O4073" i="3" s="1"/>
  <c r="O4072" i="3" s="1"/>
  <c r="O4071" i="3"/>
  <c r="O4070" i="3" s="1"/>
  <c r="O4069" i="3"/>
  <c r="O4068" i="3" s="1"/>
  <c r="O4067" i="3"/>
  <c r="O4066" i="3" s="1"/>
  <c r="O4065" i="3"/>
  <c r="O4064" i="3" s="1"/>
  <c r="O4063" i="3"/>
  <c r="O4062" i="3" s="1"/>
  <c r="O4061" i="3"/>
  <c r="O4060" i="3" s="1"/>
  <c r="O4059" i="3"/>
  <c r="O4058" i="3" s="1"/>
  <c r="O4057" i="3"/>
  <c r="O4056" i="3" s="1"/>
  <c r="O4055" i="3"/>
  <c r="O4054" i="3" s="1"/>
  <c r="O4053" i="3"/>
  <c r="O4052" i="3" s="1"/>
  <c r="N4051" i="3"/>
  <c r="O4051" i="3" s="1"/>
  <c r="O4050" i="3" s="1"/>
  <c r="O4049" i="3"/>
  <c r="O4048" i="3" s="1"/>
  <c r="O4047" i="3"/>
  <c r="O4046" i="3" s="1"/>
  <c r="N4045" i="3"/>
  <c r="O4045" i="3" s="1"/>
  <c r="O4044" i="3"/>
  <c r="N4042" i="3"/>
  <c r="O4042" i="3" s="1"/>
  <c r="O4041" i="3" s="1"/>
  <c r="N4040" i="3"/>
  <c r="O4040" i="3" s="1"/>
  <c r="O4039" i="3" s="1"/>
  <c r="N4038" i="3"/>
  <c r="O4038" i="3" s="1"/>
  <c r="O4037" i="3" s="1"/>
  <c r="O4036" i="3"/>
  <c r="O4035" i="3" s="1"/>
  <c r="O4034" i="3"/>
  <c r="O4033" i="3" s="1"/>
  <c r="O4032" i="3"/>
  <c r="O4031" i="3" s="1"/>
  <c r="N4030" i="3"/>
  <c r="O4030" i="3" s="1"/>
  <c r="O4029" i="3" s="1"/>
  <c r="O4028" i="3"/>
  <c r="O4027" i="3" s="1"/>
  <c r="C4027" i="3"/>
  <c r="E4027" i="3" s="1"/>
  <c r="O4026" i="3"/>
  <c r="O4025" i="3" s="1"/>
  <c r="E4025" i="3"/>
  <c r="E4024" i="3"/>
  <c r="C3998" i="3"/>
  <c r="E3998" i="3" s="1"/>
  <c r="O3996" i="3"/>
  <c r="O3995" i="3"/>
  <c r="H3995" i="3"/>
  <c r="O3994" i="3"/>
  <c r="O3993" i="3"/>
  <c r="H3993" i="3"/>
  <c r="O3992" i="3"/>
  <c r="E3991" i="3"/>
  <c r="E3990" i="3"/>
  <c r="C3980" i="3"/>
  <c r="C3982" i="3" s="1"/>
  <c r="E3976" i="3"/>
  <c r="E3974" i="3"/>
  <c r="E3973" i="3"/>
  <c r="O3972" i="3"/>
  <c r="O3971" i="3"/>
  <c r="O3970" i="3"/>
  <c r="E3969" i="3"/>
  <c r="E3968" i="3"/>
  <c r="O3958" i="3"/>
  <c r="O3957" i="3"/>
  <c r="N3956" i="3"/>
  <c r="O3956" i="3" s="1"/>
  <c r="H3956" i="3"/>
  <c r="O3955" i="3"/>
  <c r="O3930" i="3"/>
  <c r="O3929" i="3"/>
  <c r="O3928" i="3"/>
  <c r="O3927" i="3"/>
  <c r="H3927" i="3"/>
  <c r="O3926" i="3"/>
  <c r="O3924" i="3"/>
  <c r="C3923" i="3"/>
  <c r="C3932" i="3" s="1"/>
  <c r="O3922" i="3"/>
  <c r="O3921" i="3"/>
  <c r="O3920" i="3"/>
  <c r="O3919" i="3"/>
  <c r="O3918" i="3"/>
  <c r="O3917" i="3"/>
  <c r="O3916" i="3"/>
  <c r="H3916" i="3"/>
  <c r="O3915" i="3"/>
  <c r="O3914" i="3"/>
  <c r="H3914" i="3"/>
  <c r="O3913" i="3"/>
  <c r="O3912" i="3"/>
  <c r="H3912" i="3"/>
  <c r="O3911" i="3"/>
  <c r="E3910" i="3"/>
  <c r="E3909" i="3"/>
  <c r="O3908" i="3"/>
  <c r="O3904" i="3"/>
  <c r="O3903" i="3" s="1"/>
  <c r="O3901" i="3"/>
  <c r="O3900" i="3" s="1"/>
  <c r="C3885" i="3"/>
  <c r="O3881" i="3"/>
  <c r="E3880" i="3"/>
  <c r="E3879" i="3"/>
  <c r="O3878" i="3"/>
  <c r="O3877" i="3"/>
  <c r="O3876" i="3"/>
  <c r="O3875" i="3"/>
  <c r="C3852" i="3"/>
  <c r="C3869" i="3" s="1"/>
  <c r="C3874" i="3" s="1"/>
  <c r="E3874" i="3" s="1"/>
  <c r="O3851" i="3"/>
  <c r="O3850" i="3"/>
  <c r="O3849" i="3"/>
  <c r="O3848" i="3"/>
  <c r="O3847" i="3"/>
  <c r="O3846" i="3"/>
  <c r="O3845" i="3"/>
  <c r="O3844" i="3"/>
  <c r="E3843" i="3"/>
  <c r="E3842" i="3"/>
  <c r="O3836" i="3"/>
  <c r="O3832" i="3"/>
  <c r="K3831" i="3"/>
  <c r="O3831" i="3" s="1"/>
  <c r="K3830" i="3"/>
  <c r="O3830" i="3" s="1"/>
  <c r="O3829" i="3"/>
  <c r="C3828" i="3"/>
  <c r="O3827" i="3"/>
  <c r="O3826" i="3"/>
  <c r="O3825" i="3"/>
  <c r="O3824" i="3"/>
  <c r="O3823" i="3"/>
  <c r="O3822" i="3"/>
  <c r="O3819" i="3"/>
  <c r="O3818" i="3"/>
  <c r="O3817" i="3"/>
  <c r="O3816" i="3"/>
  <c r="E3815" i="3"/>
  <c r="E3814" i="3"/>
  <c r="C3775" i="3"/>
  <c r="E3755" i="3"/>
  <c r="E3754" i="3"/>
  <c r="C3656" i="3"/>
  <c r="E3646" i="3"/>
  <c r="E3645" i="3"/>
  <c r="O3643" i="3"/>
  <c r="O3642" i="3" s="1"/>
  <c r="O3641" i="3"/>
  <c r="O3640" i="3" s="1"/>
  <c r="O3639" i="3"/>
  <c r="O3638" i="3" s="1"/>
  <c r="O3637" i="3"/>
  <c r="O3636" i="3" s="1"/>
  <c r="O3635" i="3"/>
  <c r="O3634" i="3" s="1"/>
  <c r="O3633" i="3"/>
  <c r="O3632" i="3" s="1"/>
  <c r="O3631" i="3"/>
  <c r="O3630" i="3" s="1"/>
  <c r="O3629" i="3"/>
  <c r="O3628" i="3" s="1"/>
  <c r="O3627" i="3"/>
  <c r="O3626" i="3" s="1"/>
  <c r="O3625" i="3"/>
  <c r="O3624" i="3" s="1"/>
  <c r="O3623" i="3"/>
  <c r="O3622" i="3" s="1"/>
  <c r="O3621" i="3"/>
  <c r="O3620" i="3" s="1"/>
  <c r="O3619" i="3"/>
  <c r="O3618" i="3" s="1"/>
  <c r="N3617" i="3"/>
  <c r="O3617" i="3" s="1"/>
  <c r="O3616" i="3" s="1"/>
  <c r="N3615" i="3"/>
  <c r="O3615" i="3" s="1"/>
  <c r="O3614" i="3" s="1"/>
  <c r="O3613" i="3"/>
  <c r="O3612" i="3" s="1"/>
  <c r="O3611" i="3"/>
  <c r="O3610" i="3" s="1"/>
  <c r="O3609" i="3"/>
  <c r="O3608" i="3" s="1"/>
  <c r="O3607" i="3"/>
  <c r="O3606" i="3" s="1"/>
  <c r="O3605" i="3"/>
  <c r="O3604" i="3" s="1"/>
  <c r="O3603" i="3"/>
  <c r="O3602" i="3" s="1"/>
  <c r="O3601" i="3"/>
  <c r="O3600" i="3" s="1"/>
  <c r="O3599" i="3"/>
  <c r="O3598" i="3" s="1"/>
  <c r="O3597" i="3"/>
  <c r="O3596" i="3" s="1"/>
  <c r="O3595" i="3"/>
  <c r="O3594" i="3" s="1"/>
  <c r="O3593" i="3"/>
  <c r="O3592" i="3" s="1"/>
  <c r="O3591" i="3"/>
  <c r="O3590" i="3" s="1"/>
  <c r="O3589" i="3"/>
  <c r="O3588" i="3" s="1"/>
  <c r="O3587" i="3"/>
  <c r="O3586" i="3" s="1"/>
  <c r="O3585" i="3"/>
  <c r="O3584" i="3" s="1"/>
  <c r="O3583" i="3"/>
  <c r="O3582" i="3" s="1"/>
  <c r="O3581" i="3"/>
  <c r="O3580" i="3" s="1"/>
  <c r="O3579" i="3"/>
  <c r="O3578" i="3" s="1"/>
  <c r="O3577" i="3"/>
  <c r="O3576" i="3" s="1"/>
  <c r="O3575" i="3"/>
  <c r="O3574" i="3" s="1"/>
  <c r="O3573" i="3"/>
  <c r="O3572" i="3" s="1"/>
  <c r="O3571" i="3"/>
  <c r="O3570" i="3" s="1"/>
  <c r="O3569" i="3"/>
  <c r="O3568" i="3" s="1"/>
  <c r="O3567" i="3"/>
  <c r="O3566" i="3" s="1"/>
  <c r="O3565" i="3"/>
  <c r="O3564" i="3" s="1"/>
  <c r="O3563" i="3"/>
  <c r="O3562" i="3" s="1"/>
  <c r="O3561" i="3"/>
  <c r="O3560" i="3" s="1"/>
  <c r="O3559" i="3"/>
  <c r="O3558" i="3" s="1"/>
  <c r="O3557" i="3"/>
  <c r="O3556" i="3" s="1"/>
  <c r="O3555" i="3"/>
  <c r="O3554" i="3" s="1"/>
  <c r="O3553" i="3"/>
  <c r="O3552" i="3" s="1"/>
  <c r="C3552" i="3"/>
  <c r="O3551" i="3"/>
  <c r="O3550" i="3" s="1"/>
  <c r="E3550" i="3"/>
  <c r="E3549" i="3"/>
  <c r="O3548" i="3"/>
  <c r="O3547" i="3" s="1"/>
  <c r="O3546" i="3"/>
  <c r="O3545" i="3" s="1"/>
  <c r="O3544" i="3"/>
  <c r="O3543" i="3" s="1"/>
  <c r="O3542" i="3"/>
  <c r="O3541" i="3" s="1"/>
  <c r="O3540" i="3"/>
  <c r="O3539" i="3" s="1"/>
  <c r="O3538" i="3"/>
  <c r="O3537" i="3" s="1"/>
  <c r="O3536" i="3"/>
  <c r="O3535" i="3" s="1"/>
  <c r="O3534" i="3"/>
  <c r="O3533" i="3" s="1"/>
  <c r="O3532" i="3"/>
  <c r="O3531" i="3" s="1"/>
  <c r="O3530" i="3"/>
  <c r="O3529" i="3" s="1"/>
  <c r="O3524" i="3"/>
  <c r="O3523" i="3" s="1"/>
  <c r="O3516" i="3"/>
  <c r="O3515" i="3" s="1"/>
  <c r="O3514" i="3"/>
  <c r="O3513" i="3" s="1"/>
  <c r="D3513" i="3"/>
  <c r="E3513" i="3" s="1"/>
  <c r="E3512" i="3"/>
  <c r="E3511" i="3"/>
  <c r="O3510" i="3"/>
  <c r="O3509" i="3" s="1"/>
  <c r="O3508" i="3"/>
  <c r="O3507" i="3" s="1"/>
  <c r="O3506" i="3"/>
  <c r="O3505" i="3" s="1"/>
  <c r="O3504" i="3"/>
  <c r="O3503" i="3" s="1"/>
  <c r="O3502" i="3"/>
  <c r="O3501" i="3" s="1"/>
  <c r="O3500" i="3"/>
  <c r="O3499" i="3" s="1"/>
  <c r="O3498" i="3"/>
  <c r="O3497" i="3" s="1"/>
  <c r="O3496" i="3"/>
  <c r="O3495" i="3" s="1"/>
  <c r="O3494" i="3"/>
  <c r="O3493" i="3" s="1"/>
  <c r="O3492" i="3"/>
  <c r="O3491" i="3" s="1"/>
  <c r="O3490" i="3"/>
  <c r="O3489" i="3" s="1"/>
  <c r="O3488" i="3"/>
  <c r="O3487" i="3" s="1"/>
  <c r="O3486" i="3"/>
  <c r="O3485" i="3" s="1"/>
  <c r="O3484" i="3"/>
  <c r="O3483" i="3" s="1"/>
  <c r="O3482" i="3"/>
  <c r="O3481" i="3" s="1"/>
  <c r="O3480" i="3"/>
  <c r="O3479" i="3" s="1"/>
  <c r="O3478" i="3"/>
  <c r="O3477" i="3" s="1"/>
  <c r="O3476" i="3"/>
  <c r="O3475" i="3" s="1"/>
  <c r="O3474" i="3"/>
  <c r="O3473" i="3" s="1"/>
  <c r="O3472" i="3"/>
  <c r="O3471" i="3" s="1"/>
  <c r="O3470" i="3"/>
  <c r="O3469" i="3" s="1"/>
  <c r="N3468" i="3"/>
  <c r="O3468" i="3" s="1"/>
  <c r="O3467" i="3" s="1"/>
  <c r="O3466" i="3"/>
  <c r="O3465" i="3" s="1"/>
  <c r="O3464" i="3"/>
  <c r="O3463" i="3" s="1"/>
  <c r="O3462" i="3"/>
  <c r="O3461" i="3" s="1"/>
  <c r="O3460" i="3"/>
  <c r="O3459" i="3" s="1"/>
  <c r="O3458" i="3"/>
  <c r="O3457" i="3" s="1"/>
  <c r="O3456" i="3"/>
  <c r="O3455" i="3" s="1"/>
  <c r="O3454" i="3"/>
  <c r="O3453" i="3" s="1"/>
  <c r="O3452" i="3"/>
  <c r="O3451" i="3" s="1"/>
  <c r="O3450" i="3"/>
  <c r="O3449" i="3" s="1"/>
  <c r="O3448" i="3"/>
  <c r="O3447" i="3" s="1"/>
  <c r="O3446" i="3"/>
  <c r="O3445" i="3" s="1"/>
  <c r="O3444" i="3"/>
  <c r="O3443" i="3" s="1"/>
  <c r="O3442" i="3"/>
  <c r="O3441" i="3" s="1"/>
  <c r="O3440" i="3"/>
  <c r="O3439" i="3" s="1"/>
  <c r="C3439" i="3"/>
  <c r="C3441" i="3" s="1"/>
  <c r="C3443" i="3" s="1"/>
  <c r="N3438" i="3"/>
  <c r="O3438" i="3" s="1"/>
  <c r="O3437" i="3" s="1"/>
  <c r="E3437" i="3"/>
  <c r="E3436" i="3"/>
  <c r="O3435" i="3"/>
  <c r="O3434" i="3" s="1"/>
  <c r="E3434" i="3"/>
  <c r="E3433" i="3"/>
  <c r="O3426" i="3"/>
  <c r="H3426" i="3"/>
  <c r="O3425" i="3"/>
  <c r="C3424" i="3"/>
  <c r="C3427" i="3" s="1"/>
  <c r="O3423" i="3"/>
  <c r="H3423" i="3"/>
  <c r="O3422" i="3"/>
  <c r="E3421" i="3"/>
  <c r="E3420" i="3"/>
  <c r="O3419" i="3"/>
  <c r="O3417" i="3"/>
  <c r="O3415" i="3"/>
  <c r="O3413" i="3"/>
  <c r="C3412" i="3"/>
  <c r="E3412" i="3" s="1"/>
  <c r="O3411" i="3"/>
  <c r="E3410" i="3"/>
  <c r="E3409" i="3"/>
  <c r="O3408" i="3"/>
  <c r="O3404" i="3"/>
  <c r="H3404" i="3"/>
  <c r="O3403" i="3"/>
  <c r="C3394" i="3"/>
  <c r="E3394" i="3" s="1"/>
  <c r="O3393" i="3"/>
  <c r="O3392" i="3"/>
  <c r="O3391" i="3"/>
  <c r="O3390" i="3"/>
  <c r="O3389" i="3"/>
  <c r="O3388" i="3"/>
  <c r="O3387" i="3"/>
  <c r="O3386" i="3"/>
  <c r="E3385" i="3"/>
  <c r="E3384" i="3"/>
  <c r="O3383" i="3"/>
  <c r="O3382" i="3" s="1"/>
  <c r="C3382" i="3"/>
  <c r="O3381" i="3"/>
  <c r="H3381" i="3"/>
  <c r="O3380" i="3"/>
  <c r="E3379" i="3"/>
  <c r="E3378" i="3"/>
  <c r="C3357" i="3"/>
  <c r="C3359" i="3" s="1"/>
  <c r="E3355" i="3"/>
  <c r="E3354" i="3"/>
  <c r="C3333" i="3"/>
  <c r="E3333" i="3" s="1"/>
  <c r="E3331" i="3"/>
  <c r="E3330" i="3"/>
  <c r="O3328" i="3"/>
  <c r="O3327" i="3" s="1"/>
  <c r="O3326" i="3"/>
  <c r="O3325" i="3" s="1"/>
  <c r="O3324" i="3"/>
  <c r="O3323" i="3" s="1"/>
  <c r="O3322" i="3"/>
  <c r="O3321" i="3" s="1"/>
  <c r="O3320" i="3"/>
  <c r="O3319" i="3" s="1"/>
  <c r="O3318" i="3"/>
  <c r="O3317" i="3" s="1"/>
  <c r="O3316" i="3"/>
  <c r="O3315" i="3" s="1"/>
  <c r="O3314" i="3"/>
  <c r="O3313" i="3" s="1"/>
  <c r="O3312" i="3"/>
  <c r="O3311" i="3" s="1"/>
  <c r="O3308" i="3"/>
  <c r="O3307" i="3" s="1"/>
  <c r="E3307" i="3"/>
  <c r="E3306" i="3"/>
  <c r="O3305" i="3"/>
  <c r="O3304" i="3" s="1"/>
  <c r="O3303" i="3"/>
  <c r="O3302" i="3" s="1"/>
  <c r="O3301" i="3"/>
  <c r="O3300" i="3" s="1"/>
  <c r="O3299" i="3"/>
  <c r="O3298" i="3" s="1"/>
  <c r="O3297" i="3"/>
  <c r="O3296" i="3" s="1"/>
  <c r="O3295" i="3"/>
  <c r="O3294" i="3" s="1"/>
  <c r="O3293" i="3"/>
  <c r="O3292" i="3" s="1"/>
  <c r="O3291" i="3"/>
  <c r="O3290" i="3" s="1"/>
  <c r="O3289" i="3"/>
  <c r="O3288" i="3" s="1"/>
  <c r="N3287" i="3"/>
  <c r="O3287" i="3" s="1"/>
  <c r="O3286" i="3" s="1"/>
  <c r="O3285" i="3"/>
  <c r="O3284" i="3" s="1"/>
  <c r="O3283" i="3"/>
  <c r="O3282" i="3" s="1"/>
  <c r="O3281" i="3"/>
  <c r="O3280" i="3" s="1"/>
  <c r="O3279" i="3"/>
  <c r="O3278" i="3" s="1"/>
  <c r="O3277" i="3"/>
  <c r="O3276" i="3" s="1"/>
  <c r="O3275" i="3"/>
  <c r="O3274" i="3" s="1"/>
  <c r="O3273" i="3"/>
  <c r="O3272" i="3" s="1"/>
  <c r="O3271" i="3"/>
  <c r="O3270" i="3" s="1"/>
  <c r="O3269" i="3"/>
  <c r="O3268" i="3" s="1"/>
  <c r="O3267" i="3"/>
  <c r="O3266" i="3" s="1"/>
  <c r="O3265" i="3"/>
  <c r="O3264" i="3" s="1"/>
  <c r="O3263" i="3"/>
  <c r="O3262" i="3" s="1"/>
  <c r="O3261" i="3"/>
  <c r="O3260" i="3" s="1"/>
  <c r="O3259" i="3"/>
  <c r="O3258" i="3" s="1"/>
  <c r="O3257" i="3"/>
  <c r="O3256" i="3" s="1"/>
  <c r="O3255" i="3"/>
  <c r="O3254" i="3" s="1"/>
  <c r="O3253" i="3"/>
  <c r="O3252" i="3" s="1"/>
  <c r="O3251" i="3"/>
  <c r="O3250" i="3" s="1"/>
  <c r="O3249" i="3"/>
  <c r="O3248" i="3" s="1"/>
  <c r="N3247" i="3"/>
  <c r="O3247" i="3" s="1"/>
  <c r="O3246" i="3" s="1"/>
  <c r="O3245" i="3"/>
  <c r="O3244" i="3" s="1"/>
  <c r="O3243" i="3"/>
  <c r="O3242" i="3" s="1"/>
  <c r="O3241" i="3"/>
  <c r="O3240" i="3" s="1"/>
  <c r="O3239" i="3"/>
  <c r="O3238" i="3" s="1"/>
  <c r="O3237" i="3"/>
  <c r="O3236" i="3" s="1"/>
  <c r="O3235" i="3"/>
  <c r="O3234" i="3" s="1"/>
  <c r="O3233" i="3"/>
  <c r="O3232" i="3" s="1"/>
  <c r="O3231" i="3"/>
  <c r="O3230" i="3" s="1"/>
  <c r="O3229" i="3"/>
  <c r="O3228" i="3" s="1"/>
  <c r="O3227" i="3"/>
  <c r="O3226" i="3" s="1"/>
  <c r="O3225" i="3"/>
  <c r="O3224" i="3" s="1"/>
  <c r="O3223" i="3"/>
  <c r="O3222" i="3" s="1"/>
  <c r="O3221" i="3"/>
  <c r="O3220" i="3" s="1"/>
  <c r="O3219" i="3"/>
  <c r="O3218" i="3" s="1"/>
  <c r="O3217" i="3"/>
  <c r="O3216" i="3" s="1"/>
  <c r="O3215" i="3"/>
  <c r="O3214" i="3" s="1"/>
  <c r="O3213" i="3"/>
  <c r="O3212" i="3"/>
  <c r="O3210" i="3"/>
  <c r="O3209" i="3" s="1"/>
  <c r="O3208" i="3"/>
  <c r="O3207" i="3" s="1"/>
  <c r="O3206" i="3"/>
  <c r="O3205" i="3" s="1"/>
  <c r="O3204" i="3"/>
  <c r="O3203" i="3" s="1"/>
  <c r="O3202" i="3"/>
  <c r="O3201" i="3"/>
  <c r="O3199" i="3"/>
  <c r="O3198" i="3" s="1"/>
  <c r="O3197" i="3"/>
  <c r="O3196" i="3" s="1"/>
  <c r="O3195" i="3"/>
  <c r="O3194" i="3" s="1"/>
  <c r="O3193" i="3"/>
  <c r="O3192" i="3" s="1"/>
  <c r="O3191" i="3"/>
  <c r="O3190" i="3" s="1"/>
  <c r="C3190" i="3"/>
  <c r="C3192" i="3" s="1"/>
  <c r="O3189" i="3"/>
  <c r="O3188" i="3" s="1"/>
  <c r="E3188" i="3"/>
  <c r="E3187" i="3"/>
  <c r="O3186" i="3"/>
  <c r="O3185" i="3" s="1"/>
  <c r="O3184" i="3"/>
  <c r="O3183" i="3" s="1"/>
  <c r="O3182" i="3"/>
  <c r="O3181" i="3" s="1"/>
  <c r="O3180" i="3"/>
  <c r="O3179" i="3" s="1"/>
  <c r="O3178" i="3"/>
  <c r="O3177" i="3" s="1"/>
  <c r="C3177" i="3"/>
  <c r="O3176" i="3"/>
  <c r="O3175" i="3" s="1"/>
  <c r="E3175" i="3"/>
  <c r="E3174" i="3"/>
  <c r="O3173" i="3"/>
  <c r="O3172" i="3" s="1"/>
  <c r="O3171" i="3"/>
  <c r="O3170" i="3" s="1"/>
  <c r="O3169" i="3"/>
  <c r="O3168" i="3" s="1"/>
  <c r="O3167" i="3"/>
  <c r="O3166" i="3" s="1"/>
  <c r="O3165" i="3"/>
  <c r="O3164" i="3" s="1"/>
  <c r="O3163" i="3"/>
  <c r="O3162" i="3" s="1"/>
  <c r="O3161" i="3"/>
  <c r="O3160" i="3" s="1"/>
  <c r="O3159" i="3"/>
  <c r="O3158" i="3" s="1"/>
  <c r="O3157" i="3"/>
  <c r="O3156" i="3" s="1"/>
  <c r="O3155" i="3"/>
  <c r="O3154" i="3" s="1"/>
  <c r="O3153" i="3"/>
  <c r="O3152" i="3" s="1"/>
  <c r="O3151" i="3"/>
  <c r="O3150" i="3" s="1"/>
  <c r="O3149" i="3"/>
  <c r="O3148" i="3" s="1"/>
  <c r="D3148" i="3"/>
  <c r="D3150" i="3" s="1"/>
  <c r="E3147" i="3"/>
  <c r="D3125" i="3"/>
  <c r="D3127" i="3" s="1"/>
  <c r="D3129" i="3" s="1"/>
  <c r="E3129" i="3" s="1"/>
  <c r="E3123" i="3"/>
  <c r="E3122" i="3"/>
  <c r="O3115" i="3"/>
  <c r="O3114" i="3" s="1"/>
  <c r="O3113" i="3"/>
  <c r="O3112" i="3" s="1"/>
  <c r="O3111" i="3"/>
  <c r="O3110" i="3" s="1"/>
  <c r="O3109" i="3"/>
  <c r="O3108" i="3" s="1"/>
  <c r="O3107" i="3"/>
  <c r="O3106" i="3" s="1"/>
  <c r="O3105" i="3"/>
  <c r="O3104" i="3" s="1"/>
  <c r="O3103" i="3"/>
  <c r="O3102" i="3" s="1"/>
  <c r="O3101" i="3"/>
  <c r="O3100" i="3" s="1"/>
  <c r="O3099" i="3"/>
  <c r="O3098" i="3" s="1"/>
  <c r="O3097" i="3"/>
  <c r="O3096" i="3" s="1"/>
  <c r="O3095" i="3"/>
  <c r="O3094" i="3" s="1"/>
  <c r="O3093" i="3"/>
  <c r="O3092" i="3" s="1"/>
  <c r="O3091" i="3"/>
  <c r="O3090" i="3" s="1"/>
  <c r="O3089" i="3"/>
  <c r="O3088" i="3" s="1"/>
  <c r="O3087" i="3"/>
  <c r="O3086" i="3" s="1"/>
  <c r="O3085" i="3"/>
  <c r="O3084" i="3" s="1"/>
  <c r="D3084" i="3"/>
  <c r="E3083" i="3"/>
  <c r="O3082" i="3"/>
  <c r="O3081" i="3" s="1"/>
  <c r="O3080" i="3"/>
  <c r="O3079" i="3" s="1"/>
  <c r="O3078" i="3"/>
  <c r="O3077" i="3" s="1"/>
  <c r="O3076" i="3"/>
  <c r="O3075" i="3" s="1"/>
  <c r="O3074" i="3"/>
  <c r="O3073" i="3" s="1"/>
  <c r="O3072" i="3"/>
  <c r="O3071" i="3" s="1"/>
  <c r="O3070" i="3"/>
  <c r="O3069" i="3" s="1"/>
  <c r="O3068" i="3"/>
  <c r="O3067" i="3" s="1"/>
  <c r="O3066" i="3"/>
  <c r="O3065" i="3" s="1"/>
  <c r="O3064" i="3"/>
  <c r="O3063" i="3" s="1"/>
  <c r="E3063" i="3"/>
  <c r="E3062" i="3"/>
  <c r="E3061" i="3"/>
  <c r="O3060" i="3"/>
  <c r="O3059" i="3" s="1"/>
  <c r="P3059" i="3"/>
  <c r="O3058" i="3"/>
  <c r="O3057" i="3" s="1"/>
  <c r="P3057" i="3"/>
  <c r="O3056" i="3"/>
  <c r="O3055" i="3" s="1"/>
  <c r="P3055" i="3"/>
  <c r="O3054" i="3"/>
  <c r="O3053" i="3" s="1"/>
  <c r="P3053" i="3"/>
  <c r="O3052" i="3"/>
  <c r="O3051" i="3" s="1"/>
  <c r="P3051" i="3"/>
  <c r="O3050" i="3"/>
  <c r="O3049" i="3" s="1"/>
  <c r="P3049" i="3"/>
  <c r="O3048" i="3"/>
  <c r="O3047" i="3" s="1"/>
  <c r="P3047" i="3"/>
  <c r="O3046" i="3"/>
  <c r="O3045" i="3" s="1"/>
  <c r="P3045" i="3"/>
  <c r="O3044" i="3"/>
  <c r="O3043" i="3" s="1"/>
  <c r="P3043" i="3"/>
  <c r="O3042" i="3"/>
  <c r="O3041" i="3" s="1"/>
  <c r="P3041" i="3"/>
  <c r="O3040" i="3"/>
  <c r="O3039" i="3" s="1"/>
  <c r="P3039" i="3"/>
  <c r="O3038" i="3"/>
  <c r="O3037" i="3" s="1"/>
  <c r="P3037" i="3"/>
  <c r="O3036" i="3"/>
  <c r="O3035" i="3" s="1"/>
  <c r="P3035" i="3"/>
  <c r="O3034" i="3"/>
  <c r="O3033" i="3" s="1"/>
  <c r="P3033" i="3"/>
  <c r="O3032" i="3"/>
  <c r="O3031" i="3" s="1"/>
  <c r="O3030" i="3"/>
  <c r="O3029" i="3" s="1"/>
  <c r="O3028" i="3"/>
  <c r="O3027" i="3" s="1"/>
  <c r="O3026" i="3"/>
  <c r="O3025" i="3" s="1"/>
  <c r="O3024" i="3"/>
  <c r="O3023" i="3" s="1"/>
  <c r="O3022" i="3"/>
  <c r="O3021" i="3" s="1"/>
  <c r="O3020" i="3"/>
  <c r="O3019" i="3" s="1"/>
  <c r="O3018" i="3"/>
  <c r="O3017" i="3" s="1"/>
  <c r="O3016" i="3"/>
  <c r="O3015" i="3" s="1"/>
  <c r="O3014" i="3"/>
  <c r="O3013" i="3" s="1"/>
  <c r="O3012" i="3"/>
  <c r="O3011" i="3" s="1"/>
  <c r="O3010" i="3"/>
  <c r="O3009" i="3" s="1"/>
  <c r="O3008" i="3"/>
  <c r="O3007" i="3" s="1"/>
  <c r="O3006" i="3"/>
  <c r="O3005" i="3" s="1"/>
  <c r="O3004" i="3"/>
  <c r="O3003" i="3" s="1"/>
  <c r="O3002" i="3"/>
  <c r="O3001" i="3" s="1"/>
  <c r="N3000" i="3"/>
  <c r="O3000" i="3" s="1"/>
  <c r="O2999" i="3" s="1"/>
  <c r="O2998" i="3"/>
  <c r="O2997" i="3" s="1"/>
  <c r="N2996" i="3"/>
  <c r="O2996" i="3" s="1"/>
  <c r="O2995" i="3" s="1"/>
  <c r="O2994" i="3"/>
  <c r="O2993" i="3" s="1"/>
  <c r="N2992" i="3"/>
  <c r="O2992" i="3" s="1"/>
  <c r="O2991" i="3" s="1"/>
  <c r="O2990" i="3"/>
  <c r="O2989" i="3" s="1"/>
  <c r="O2988" i="3"/>
  <c r="O2987" i="3" s="1"/>
  <c r="O2986" i="3"/>
  <c r="O2985" i="3" s="1"/>
  <c r="O2984" i="3"/>
  <c r="O2983" i="3" s="1"/>
  <c r="O2982" i="3"/>
  <c r="O2981" i="3" s="1"/>
  <c r="O2980" i="3"/>
  <c r="O2979" i="3" s="1"/>
  <c r="O2978" i="3"/>
  <c r="O2977" i="3" s="1"/>
  <c r="O2976" i="3"/>
  <c r="O2975" i="3" s="1"/>
  <c r="O2974" i="3"/>
  <c r="O2973" i="3"/>
  <c r="C2972" i="3"/>
  <c r="O2971" i="3"/>
  <c r="O2970" i="3"/>
  <c r="E2969" i="3"/>
  <c r="E2968" i="3"/>
  <c r="O2967" i="3"/>
  <c r="O2966" i="3" s="1"/>
  <c r="C2933" i="3"/>
  <c r="E2933" i="3" s="1"/>
  <c r="E2932" i="3"/>
  <c r="O2931" i="3"/>
  <c r="O2930" i="3" s="1"/>
  <c r="O2929" i="3"/>
  <c r="O2928" i="3" s="1"/>
  <c r="O2927" i="3"/>
  <c r="O2926" i="3" s="1"/>
  <c r="O2923" i="3"/>
  <c r="O2922" i="3" s="1"/>
  <c r="O2921" i="3"/>
  <c r="O2920" i="3" s="1"/>
  <c r="C2920" i="3"/>
  <c r="C2922" i="3" s="1"/>
  <c r="E2919" i="3"/>
  <c r="C2911" i="3"/>
  <c r="E2911" i="3" s="1"/>
  <c r="E2910" i="3"/>
  <c r="O2875" i="3"/>
  <c r="O2874" i="3"/>
  <c r="C2858" i="3"/>
  <c r="C2873" i="3" s="1"/>
  <c r="E2857" i="3"/>
  <c r="O2856" i="3"/>
  <c r="O2855" i="3"/>
  <c r="O2854" i="3"/>
  <c r="O2852" i="3"/>
  <c r="C2817" i="3"/>
  <c r="C2825" i="3" s="1"/>
  <c r="E2825" i="3" s="1"/>
  <c r="E2809" i="3"/>
  <c r="E2808" i="3"/>
  <c r="O2803" i="3"/>
  <c r="H2803" i="3"/>
  <c r="O2802" i="3"/>
  <c r="O2801" i="3"/>
  <c r="H2801" i="3"/>
  <c r="O2800" i="3"/>
  <c r="O2799" i="3"/>
  <c r="H2799" i="3"/>
  <c r="O2798" i="3"/>
  <c r="O2797" i="3"/>
  <c r="H2797" i="3"/>
  <c r="O2796" i="3"/>
  <c r="O2795" i="3"/>
  <c r="H2795" i="3"/>
  <c r="O2794" i="3"/>
  <c r="O2793" i="3"/>
  <c r="H2793" i="3"/>
  <c r="O2792" i="3"/>
  <c r="O2791" i="3"/>
  <c r="H2791" i="3"/>
  <c r="O2790" i="3"/>
  <c r="O2780" i="3"/>
  <c r="O2779" i="3"/>
  <c r="O2778" i="3"/>
  <c r="O2777" i="3"/>
  <c r="O2776" i="3"/>
  <c r="O2775" i="3"/>
  <c r="O2774" i="3"/>
  <c r="O2773" i="3"/>
  <c r="C2772" i="3"/>
  <c r="E2771" i="3"/>
  <c r="K2770" i="3"/>
  <c r="O2770" i="3" s="1"/>
  <c r="O2769" i="3" s="1"/>
  <c r="O2768" i="3"/>
  <c r="O2767" i="3" s="1"/>
  <c r="O2766" i="3"/>
  <c r="O2764" i="3"/>
  <c r="O2762" i="3"/>
  <c r="O2761" i="3" s="1"/>
  <c r="O2760" i="3"/>
  <c r="O2759" i="3" s="1"/>
  <c r="C2759" i="3"/>
  <c r="E2759" i="3" s="1"/>
  <c r="E2758" i="3"/>
  <c r="O2750" i="3"/>
  <c r="O2749" i="3"/>
  <c r="O2744" i="3"/>
  <c r="O2743" i="3"/>
  <c r="C2742" i="3"/>
  <c r="O2741" i="3"/>
  <c r="O2740" i="3"/>
  <c r="H2740" i="3"/>
  <c r="M2739" i="3"/>
  <c r="O2739" i="3" s="1"/>
  <c r="O2738" i="3"/>
  <c r="H2738" i="3"/>
  <c r="M2737" i="3"/>
  <c r="O2737" i="3" s="1"/>
  <c r="O2736" i="3"/>
  <c r="H2736" i="3"/>
  <c r="M2735" i="3"/>
  <c r="O2735" i="3" s="1"/>
  <c r="O2734" i="3"/>
  <c r="H2734" i="3"/>
  <c r="M2733" i="3"/>
  <c r="O2733" i="3" s="1"/>
  <c r="O2732" i="3"/>
  <c r="H2732" i="3"/>
  <c r="M2731" i="3"/>
  <c r="O2731" i="3" s="1"/>
  <c r="O2730" i="3"/>
  <c r="H2730" i="3"/>
  <c r="M2729" i="3"/>
  <c r="O2729" i="3" s="1"/>
  <c r="O2728" i="3"/>
  <c r="H2728" i="3"/>
  <c r="M2727" i="3"/>
  <c r="O2727" i="3" s="1"/>
  <c r="E2726" i="3"/>
  <c r="E2725" i="3"/>
  <c r="C2685" i="3"/>
  <c r="C2688" i="3" s="1"/>
  <c r="E2682" i="3"/>
  <c r="E2681" i="3"/>
  <c r="C2638" i="3"/>
  <c r="E2636" i="3"/>
  <c r="E2635" i="3"/>
  <c r="O2633" i="3"/>
  <c r="O2632" i="3" s="1"/>
  <c r="O2631" i="3"/>
  <c r="O2630" i="3" s="1"/>
  <c r="O2629" i="3"/>
  <c r="O2628" i="3" s="1"/>
  <c r="O2627" i="3"/>
  <c r="O2626" i="3" s="1"/>
  <c r="O2625" i="3"/>
  <c r="O2624" i="3" s="1"/>
  <c r="O2623" i="3"/>
  <c r="O2622" i="3" s="1"/>
  <c r="O2621" i="3"/>
  <c r="O2620" i="3" s="1"/>
  <c r="O2619" i="3"/>
  <c r="O2618" i="3" s="1"/>
  <c r="O2617" i="3"/>
  <c r="O2616" i="3" s="1"/>
  <c r="O2615" i="3"/>
  <c r="O2614" i="3" s="1"/>
  <c r="O2613" i="3"/>
  <c r="O2612" i="3" s="1"/>
  <c r="C2612" i="3"/>
  <c r="E2612" i="3" s="1"/>
  <c r="O2611" i="3"/>
  <c r="O2610" i="3" s="1"/>
  <c r="E2610" i="3"/>
  <c r="E2609" i="3"/>
  <c r="O2608" i="3"/>
  <c r="O2607" i="3" s="1"/>
  <c r="O2606" i="3"/>
  <c r="O2605" i="3" s="1"/>
  <c r="O2604" i="3"/>
  <c r="O2603" i="3" s="1"/>
  <c r="O2602" i="3"/>
  <c r="O2601" i="3" s="1"/>
  <c r="O2600" i="3"/>
  <c r="O2599" i="3" s="1"/>
  <c r="O2598" i="3"/>
  <c r="O2597" i="3" s="1"/>
  <c r="O2596" i="3"/>
  <c r="O2595" i="3" s="1"/>
  <c r="O2594" i="3"/>
  <c r="O2593" i="3" s="1"/>
  <c r="O2592" i="3"/>
  <c r="O2591" i="3" s="1"/>
  <c r="O2590" i="3"/>
  <c r="O2589" i="3" s="1"/>
  <c r="O2588" i="3"/>
  <c r="O2587" i="3" s="1"/>
  <c r="O2586" i="3"/>
  <c r="O2585" i="3" s="1"/>
  <c r="O2584" i="3"/>
  <c r="O2583" i="3" s="1"/>
  <c r="O2582" i="3"/>
  <c r="O2581" i="3" s="1"/>
  <c r="O2580" i="3"/>
  <c r="O2579" i="3" s="1"/>
  <c r="O2578" i="3"/>
  <c r="O2577" i="3" s="1"/>
  <c r="O2576" i="3"/>
  <c r="O2575" i="3" s="1"/>
  <c r="O2574" i="3"/>
  <c r="O2573" i="3" s="1"/>
  <c r="O2572" i="3"/>
  <c r="O2571" i="3" s="1"/>
  <c r="O2570" i="3"/>
  <c r="O2568" i="3"/>
  <c r="O2567" i="3" s="1"/>
  <c r="O2566" i="3"/>
  <c r="O2565" i="3" s="1"/>
  <c r="O2564" i="3"/>
  <c r="O2563" i="3" s="1"/>
  <c r="E2562" i="3"/>
  <c r="O2561" i="3"/>
  <c r="O2560" i="3" s="1"/>
  <c r="O2559" i="3"/>
  <c r="O2558" i="3" s="1"/>
  <c r="O2557" i="3"/>
  <c r="O2556" i="3" s="1"/>
  <c r="O2555" i="3"/>
  <c r="O2554" i="3" s="1"/>
  <c r="P2554" i="3"/>
  <c r="O2553" i="3"/>
  <c r="O2552" i="3" s="1"/>
  <c r="P2552" i="3"/>
  <c r="O2551" i="3"/>
  <c r="O2550" i="3" s="1"/>
  <c r="P2550" i="3"/>
  <c r="O2549" i="3"/>
  <c r="O2548" i="3" s="1"/>
  <c r="P2548" i="3"/>
  <c r="O2547" i="3"/>
  <c r="O2546" i="3" s="1"/>
  <c r="P2546" i="3"/>
  <c r="O2545" i="3"/>
  <c r="O2544" i="3" s="1"/>
  <c r="P2544" i="3"/>
  <c r="O2543" i="3"/>
  <c r="O2542" i="3" s="1"/>
  <c r="P2542" i="3"/>
  <c r="O2541" i="3"/>
  <c r="O2540" i="3" s="1"/>
  <c r="P2540" i="3"/>
  <c r="N2539" i="3"/>
  <c r="O2539" i="3" s="1"/>
  <c r="O2538" i="3" s="1"/>
  <c r="P2538" i="3"/>
  <c r="O2537" i="3"/>
  <c r="O2536" i="3" s="1"/>
  <c r="P2536" i="3"/>
  <c r="O2535" i="3"/>
  <c r="O2534" i="3" s="1"/>
  <c r="P2534" i="3"/>
  <c r="O2533" i="3"/>
  <c r="O2532" i="3" s="1"/>
  <c r="P2532" i="3"/>
  <c r="O2531" i="3"/>
  <c r="O2530" i="3" s="1"/>
  <c r="P2530" i="3"/>
  <c r="O2529" i="3"/>
  <c r="O2528" i="3" s="1"/>
  <c r="P2528" i="3"/>
  <c r="O2527" i="3"/>
  <c r="O2526" i="3" s="1"/>
  <c r="P2526" i="3"/>
  <c r="O2525" i="3"/>
  <c r="O2524" i="3" s="1"/>
  <c r="P2524" i="3"/>
  <c r="O2523" i="3"/>
  <c r="O2522" i="3" s="1"/>
  <c r="P2522" i="3"/>
  <c r="O2521" i="3"/>
  <c r="O2520" i="3" s="1"/>
  <c r="O2519" i="3"/>
  <c r="O2518" i="3" s="1"/>
  <c r="O2517" i="3"/>
  <c r="O2516" i="3" s="1"/>
  <c r="O2515" i="3"/>
  <c r="O2514" i="3" s="1"/>
  <c r="O2513" i="3"/>
  <c r="O2512" i="3" s="1"/>
  <c r="O2511" i="3"/>
  <c r="O2510" i="3" s="1"/>
  <c r="C2510" i="3"/>
  <c r="E2510" i="3" s="1"/>
  <c r="O2509" i="3"/>
  <c r="O2508" i="3" s="1"/>
  <c r="E2508" i="3"/>
  <c r="E2507" i="3"/>
  <c r="O2506" i="3"/>
  <c r="O2505" i="3" s="1"/>
  <c r="O2504" i="3"/>
  <c r="O2503" i="3" s="1"/>
  <c r="O2502" i="3"/>
  <c r="O2501" i="3" s="1"/>
  <c r="O2500" i="3"/>
  <c r="O2499" i="3" s="1"/>
  <c r="O2498" i="3"/>
  <c r="O2497" i="3" s="1"/>
  <c r="O2496" i="3"/>
  <c r="O2495" i="3" s="1"/>
  <c r="O2494" i="3"/>
  <c r="O2493" i="3" s="1"/>
  <c r="C2493" i="3"/>
  <c r="C2495" i="3" s="1"/>
  <c r="C2497" i="3" s="1"/>
  <c r="E2492" i="3"/>
  <c r="O2491" i="3"/>
  <c r="O2490" i="3" s="1"/>
  <c r="O2489" i="3"/>
  <c r="O2488" i="3" s="1"/>
  <c r="O2487" i="3"/>
  <c r="O2486" i="3" s="1"/>
  <c r="O2485" i="3"/>
  <c r="O2484" i="3" s="1"/>
  <c r="O2483" i="3"/>
  <c r="O2482" i="3" s="1"/>
  <c r="O2481" i="3"/>
  <c r="O2480" i="3" s="1"/>
  <c r="O2479" i="3"/>
  <c r="O2478" i="3" s="1"/>
  <c r="O2477" i="3"/>
  <c r="O2476" i="3" s="1"/>
  <c r="O2475" i="3"/>
  <c r="O2474" i="3" s="1"/>
  <c r="O2473" i="3"/>
  <c r="O2472" i="3" s="1"/>
  <c r="O2471" i="3"/>
  <c r="O2470" i="3" s="1"/>
  <c r="O2469" i="3"/>
  <c r="O2468" i="3" s="1"/>
  <c r="O2467" i="3"/>
  <c r="O2466" i="3" s="1"/>
  <c r="D2466" i="3"/>
  <c r="D2468" i="3" s="1"/>
  <c r="E2465" i="3"/>
  <c r="O2458" i="3"/>
  <c r="O2457" i="3" s="1"/>
  <c r="O2444" i="3"/>
  <c r="O2443" i="3" s="1"/>
  <c r="O2442" i="3"/>
  <c r="O2441" i="3" s="1"/>
  <c r="O2440" i="3"/>
  <c r="O2439" i="3" s="1"/>
  <c r="O2438" i="3"/>
  <c r="O2436" i="3"/>
  <c r="O2434" i="3"/>
  <c r="D2433" i="3"/>
  <c r="O2432" i="3"/>
  <c r="E2431" i="3"/>
  <c r="O2429" i="3"/>
  <c r="O2428" i="3" s="1"/>
  <c r="O2427" i="3"/>
  <c r="O2426" i="3" s="1"/>
  <c r="O2425" i="3"/>
  <c r="O2424" i="3" s="1"/>
  <c r="O2423" i="3"/>
  <c r="O2422" i="3" s="1"/>
  <c r="O2421" i="3"/>
  <c r="O2420" i="3" s="1"/>
  <c r="O2419" i="3"/>
  <c r="O2418" i="3" s="1"/>
  <c r="O2417" i="3"/>
  <c r="O2416" i="3" s="1"/>
  <c r="O2415" i="3"/>
  <c r="O2414" i="3" s="1"/>
  <c r="O2413" i="3"/>
  <c r="O2412" i="3" s="1"/>
  <c r="O2411" i="3"/>
  <c r="O2410" i="3" s="1"/>
  <c r="O2409" i="3"/>
  <c r="O2408" i="3" s="1"/>
  <c r="O2407" i="3"/>
  <c r="O2406" i="3" s="1"/>
  <c r="O2405" i="3"/>
  <c r="O2404" i="3" s="1"/>
  <c r="O2403" i="3"/>
  <c r="O2402" i="3" s="1"/>
  <c r="O2401" i="3"/>
  <c r="O2400" i="3" s="1"/>
  <c r="O2399" i="3"/>
  <c r="O2398" i="3" s="1"/>
  <c r="O2397" i="3"/>
  <c r="O2396" i="3" s="1"/>
  <c r="O2395" i="3"/>
  <c r="O2394" i="3" s="1"/>
  <c r="O2393" i="3"/>
  <c r="O2392" i="3" s="1"/>
  <c r="O2391" i="3"/>
  <c r="O2390" i="3" s="1"/>
  <c r="D2390" i="3"/>
  <c r="E2389" i="3"/>
  <c r="O2388" i="3"/>
  <c r="O2387" i="3" s="1"/>
  <c r="O2386" i="3"/>
  <c r="O2385" i="3" s="1"/>
  <c r="O2384" i="3"/>
  <c r="O2383" i="3" s="1"/>
  <c r="O2382" i="3"/>
  <c r="O2381" i="3" s="1"/>
  <c r="O2380" i="3"/>
  <c r="O2379" i="3" s="1"/>
  <c r="O2378" i="3"/>
  <c r="O2377" i="3" s="1"/>
  <c r="O2376" i="3"/>
  <c r="O2375" i="3" s="1"/>
  <c r="O2374" i="3"/>
  <c r="O2373" i="3" s="1"/>
  <c r="O2372" i="3"/>
  <c r="O2371" i="3" s="1"/>
  <c r="O2370" i="3"/>
  <c r="O2369" i="3" s="1"/>
  <c r="O2368" i="3"/>
  <c r="O2367" i="3" s="1"/>
  <c r="O2366" i="3"/>
  <c r="O2365" i="3" s="1"/>
  <c r="O2364" i="3"/>
  <c r="O2363" i="3" s="1"/>
  <c r="O2362" i="3"/>
  <c r="O2361" i="3" s="1"/>
  <c r="O2360" i="3"/>
  <c r="O2359" i="3" s="1"/>
  <c r="O2358" i="3"/>
  <c r="O2357" i="3" s="1"/>
  <c r="O2355" i="3"/>
  <c r="O2354" i="3"/>
  <c r="O2353" i="3" s="1"/>
  <c r="O2352" i="3"/>
  <c r="O2351" i="3" s="1"/>
  <c r="O2350" i="3"/>
  <c r="O2349" i="3" s="1"/>
  <c r="E2348" i="3"/>
  <c r="E2347" i="3"/>
  <c r="O2346" i="3"/>
  <c r="O2345" i="3" s="1"/>
  <c r="O2344" i="3"/>
  <c r="O2343" i="3" s="1"/>
  <c r="O2342" i="3"/>
  <c r="O2341" i="3" s="1"/>
  <c r="O2340" i="3"/>
  <c r="O2339" i="3" s="1"/>
  <c r="O2338" i="3"/>
  <c r="O2337" i="3" s="1"/>
  <c r="O2336" i="3"/>
  <c r="O2335" i="3" s="1"/>
  <c r="P2335" i="3"/>
  <c r="O2334" i="3"/>
  <c r="O2333" i="3" s="1"/>
  <c r="P2333" i="3"/>
  <c r="O2332" i="3"/>
  <c r="O2331" i="3" s="1"/>
  <c r="P2331" i="3"/>
  <c r="O2330" i="3"/>
  <c r="O2329" i="3" s="1"/>
  <c r="P2329" i="3"/>
  <c r="N2328" i="3"/>
  <c r="O2328" i="3" s="1"/>
  <c r="O2327" i="3" s="1"/>
  <c r="P2327" i="3"/>
  <c r="O2326" i="3"/>
  <c r="O2325" i="3" s="1"/>
  <c r="P2325" i="3"/>
  <c r="O2324" i="3"/>
  <c r="O2323" i="3" s="1"/>
  <c r="P2323" i="3"/>
  <c r="O2322" i="3"/>
  <c r="O2321" i="3" s="1"/>
  <c r="P2321" i="3"/>
  <c r="O2320" i="3"/>
  <c r="O2319" i="3" s="1"/>
  <c r="P2319" i="3"/>
  <c r="O2318" i="3"/>
  <c r="O2317" i="3" s="1"/>
  <c r="P2317" i="3"/>
  <c r="O2316" i="3"/>
  <c r="O2315" i="3" s="1"/>
  <c r="P2315" i="3"/>
  <c r="O2314" i="3"/>
  <c r="O2313" i="3" s="1"/>
  <c r="P2313" i="3"/>
  <c r="N2312" i="3"/>
  <c r="O2312" i="3" s="1"/>
  <c r="O2311" i="3" s="1"/>
  <c r="P2311" i="3"/>
  <c r="O2310" i="3"/>
  <c r="O2309" i="3" s="1"/>
  <c r="P2309" i="3"/>
  <c r="O2308" i="3"/>
  <c r="O2307" i="3" s="1"/>
  <c r="P2307" i="3"/>
  <c r="O2306" i="3"/>
  <c r="O2305" i="3" s="1"/>
  <c r="P2305" i="3"/>
  <c r="O2304" i="3"/>
  <c r="O2303" i="3" s="1"/>
  <c r="P2303" i="3"/>
  <c r="O2302" i="3"/>
  <c r="O2301" i="3" s="1"/>
  <c r="P2301" i="3"/>
  <c r="O2300" i="3"/>
  <c r="O2299" i="3" s="1"/>
  <c r="P2299" i="3"/>
  <c r="N2298" i="3"/>
  <c r="O2298" i="3" s="1"/>
  <c r="O2297" i="3" s="1"/>
  <c r="P2297" i="3"/>
  <c r="O2296" i="3"/>
  <c r="O2295" i="3" s="1"/>
  <c r="P2295" i="3"/>
  <c r="O2294" i="3"/>
  <c r="O2293" i="3" s="1"/>
  <c r="P2293" i="3"/>
  <c r="O2292" i="3"/>
  <c r="O2291" i="3" s="1"/>
  <c r="P2291" i="3"/>
  <c r="O2290" i="3"/>
  <c r="O2289" i="3" s="1"/>
  <c r="P2289" i="3"/>
  <c r="O2288" i="3"/>
  <c r="O2287" i="3" s="1"/>
  <c r="P2287" i="3"/>
  <c r="O2286" i="3"/>
  <c r="O2285" i="3" s="1"/>
  <c r="P2285" i="3"/>
  <c r="O2284" i="3"/>
  <c r="O2283" i="3" s="1"/>
  <c r="O2282" i="3"/>
  <c r="O2281" i="3" s="1"/>
  <c r="O2280" i="3"/>
  <c r="O2279" i="3" s="1"/>
  <c r="O2278" i="3"/>
  <c r="O2277" i="3" s="1"/>
  <c r="O2276" i="3"/>
  <c r="O2275" i="3" s="1"/>
  <c r="O2274" i="3"/>
  <c r="O2273" i="3" s="1"/>
  <c r="O2272" i="3"/>
  <c r="O2271" i="3" s="1"/>
  <c r="O2270" i="3"/>
  <c r="O2269" i="3" s="1"/>
  <c r="O2268" i="3"/>
  <c r="O2267" i="3" s="1"/>
  <c r="O2266" i="3"/>
  <c r="O2265" i="3" s="1"/>
  <c r="O2264" i="3"/>
  <c r="O2263" i="3" s="1"/>
  <c r="O2262" i="3"/>
  <c r="O2261" i="3" s="1"/>
  <c r="O2260" i="3"/>
  <c r="O2259" i="3" s="1"/>
  <c r="O2258" i="3"/>
  <c r="O2257" i="3" s="1"/>
  <c r="O2256" i="3"/>
  <c r="N2255" i="3"/>
  <c r="O2255" i="3" s="1"/>
  <c r="N2253" i="3"/>
  <c r="O2253" i="3" s="1"/>
  <c r="O2252" i="3" s="1"/>
  <c r="O2251" i="3"/>
  <c r="O2250" i="3" s="1"/>
  <c r="N2249" i="3"/>
  <c r="O2249" i="3" s="1"/>
  <c r="O2248" i="3" s="1"/>
  <c r="O2247" i="3"/>
  <c r="O2246" i="3" s="1"/>
  <c r="O2245" i="3"/>
  <c r="O2244" i="3" s="1"/>
  <c r="O2243" i="3"/>
  <c r="O2242" i="3" s="1"/>
  <c r="N2241" i="3"/>
  <c r="O2241" i="3" s="1"/>
  <c r="O2240" i="3" s="1"/>
  <c r="O2239" i="3"/>
  <c r="O2238" i="3" s="1"/>
  <c r="O2237" i="3"/>
  <c r="O2236" i="3" s="1"/>
  <c r="O2235" i="3"/>
  <c r="O2234" i="3" s="1"/>
  <c r="O2233" i="3"/>
  <c r="O2232" i="3" s="1"/>
  <c r="O2231" i="3"/>
  <c r="O2230" i="3" s="1"/>
  <c r="O2229" i="3"/>
  <c r="O2228" i="3" s="1"/>
  <c r="N2227" i="3"/>
  <c r="O2227" i="3" s="1"/>
  <c r="O2226" i="3" s="1"/>
  <c r="N2225" i="3"/>
  <c r="O2225" i="3" s="1"/>
  <c r="O2224" i="3" s="1"/>
  <c r="N2223" i="3"/>
  <c r="O2223" i="3" s="1"/>
  <c r="O2222" i="3" s="1"/>
  <c r="O2221" i="3"/>
  <c r="O2220" i="3" s="1"/>
  <c r="O2219" i="3"/>
  <c r="O2218" i="3" s="1"/>
  <c r="O2217" i="3"/>
  <c r="O2216" i="3" s="1"/>
  <c r="O2215" i="3"/>
  <c r="O2214" i="3" s="1"/>
  <c r="O2213" i="3"/>
  <c r="O2212" i="3" s="1"/>
  <c r="O2211" i="3"/>
  <c r="O2210" i="3" s="1"/>
  <c r="O2209" i="3"/>
  <c r="O2208" i="3" s="1"/>
  <c r="O2207" i="3"/>
  <c r="O2206" i="3"/>
  <c r="N2204" i="3"/>
  <c r="O2204" i="3" s="1"/>
  <c r="O2203" i="3"/>
  <c r="N2201" i="3"/>
  <c r="O2201" i="3" s="1"/>
  <c r="N2200" i="3"/>
  <c r="O2200" i="3" s="1"/>
  <c r="N2198" i="3"/>
  <c r="O2198" i="3" s="1"/>
  <c r="O2197" i="3" s="1"/>
  <c r="O2196" i="3"/>
  <c r="O2195" i="3" s="1"/>
  <c r="O2194" i="3"/>
  <c r="O2193" i="3" s="1"/>
  <c r="O2192" i="3"/>
  <c r="O2191" i="3" s="1"/>
  <c r="N2190" i="3"/>
  <c r="O2190" i="3" s="1"/>
  <c r="O2189" i="3" s="1"/>
  <c r="N2188" i="3"/>
  <c r="O2188" i="3" s="1"/>
  <c r="O2187" i="3" s="1"/>
  <c r="O2186" i="3"/>
  <c r="O2185" i="3" s="1"/>
  <c r="O2184" i="3"/>
  <c r="O2183" i="3" s="1"/>
  <c r="O2182" i="3"/>
  <c r="O2181" i="3" s="1"/>
  <c r="O2180" i="3"/>
  <c r="O2179" i="3" s="1"/>
  <c r="O2178" i="3"/>
  <c r="O2177" i="3" s="1"/>
  <c r="O2176" i="3"/>
  <c r="O2175" i="3" s="1"/>
  <c r="O2174" i="3"/>
  <c r="O2173" i="3" s="1"/>
  <c r="O2172" i="3"/>
  <c r="O2171" i="3" s="1"/>
  <c r="C2171" i="3"/>
  <c r="E2171" i="3" s="1"/>
  <c r="N2170" i="3"/>
  <c r="O2170" i="3" s="1"/>
  <c r="O2169" i="3" s="1"/>
  <c r="E2169" i="3"/>
  <c r="E2168" i="3"/>
  <c r="O2167" i="3"/>
  <c r="O2165" i="3"/>
  <c r="O2163" i="3"/>
  <c r="E2161" i="3"/>
  <c r="O2154" i="3"/>
  <c r="O2153" i="3" s="1"/>
  <c r="O2152" i="3"/>
  <c r="O2151" i="3" s="1"/>
  <c r="O2146" i="3"/>
  <c r="O2145" i="3"/>
  <c r="O2144" i="3"/>
  <c r="O2143" i="3"/>
  <c r="O2142" i="3"/>
  <c r="C2141" i="3"/>
  <c r="E2141" i="3" s="1"/>
  <c r="O2136" i="3"/>
  <c r="O2135" i="3" s="1"/>
  <c r="E2135" i="3"/>
  <c r="E2134" i="3"/>
  <c r="E2120" i="3"/>
  <c r="E2119" i="3"/>
  <c r="O2044" i="3"/>
  <c r="H2044" i="3"/>
  <c r="O2043" i="3"/>
  <c r="C2042" i="3"/>
  <c r="C2048" i="3" s="1"/>
  <c r="E2013" i="3"/>
  <c r="E2012" i="3"/>
  <c r="O2011" i="3"/>
  <c r="O2010" i="3" s="1"/>
  <c r="O2009" i="3"/>
  <c r="O2007" i="3"/>
  <c r="O2006" i="3"/>
  <c r="O2005" i="3"/>
  <c r="C1938" i="3"/>
  <c r="E1938" i="3" s="1"/>
  <c r="O1923" i="3"/>
  <c r="E1922" i="3"/>
  <c r="E1921" i="3"/>
  <c r="O1920" i="3"/>
  <c r="O1919" i="3"/>
  <c r="O1915" i="3"/>
  <c r="O1913" i="3"/>
  <c r="O1912" i="3"/>
  <c r="H1912" i="3"/>
  <c r="O1911" i="3"/>
  <c r="O1910" i="3"/>
  <c r="H1910" i="3"/>
  <c r="O1909" i="3"/>
  <c r="O1908" i="3"/>
  <c r="H1908" i="3"/>
  <c r="O1907" i="3"/>
  <c r="O1906" i="3"/>
  <c r="H1906" i="3"/>
  <c r="O1905" i="3"/>
  <c r="O1904" i="3"/>
  <c r="H1904" i="3"/>
  <c r="O1903" i="3"/>
  <c r="O1902" i="3"/>
  <c r="H1902" i="3"/>
  <c r="O1901" i="3"/>
  <c r="O1900" i="3"/>
  <c r="H1900" i="3"/>
  <c r="O1899" i="3"/>
  <c r="O1898" i="3"/>
  <c r="H1898" i="3"/>
  <c r="O1897" i="3"/>
  <c r="O1896" i="3"/>
  <c r="H1896" i="3"/>
  <c r="O1895" i="3"/>
  <c r="O1894" i="3"/>
  <c r="H1894" i="3"/>
  <c r="O1893" i="3"/>
  <c r="O1892" i="3"/>
  <c r="H1892" i="3"/>
  <c r="O1891" i="3"/>
  <c r="O1890" i="3"/>
  <c r="H1890" i="3"/>
  <c r="O1889" i="3"/>
  <c r="O1888" i="3"/>
  <c r="H1888" i="3"/>
  <c r="O1887" i="3"/>
  <c r="O1886" i="3"/>
  <c r="H1886" i="3"/>
  <c r="O1885" i="3"/>
  <c r="C1869" i="3"/>
  <c r="C1916" i="3" s="1"/>
  <c r="O1868" i="3"/>
  <c r="O1867" i="3"/>
  <c r="O1866" i="3"/>
  <c r="O1865" i="3"/>
  <c r="O1864" i="3"/>
  <c r="O1863" i="3"/>
  <c r="O1862" i="3"/>
  <c r="O1861" i="3"/>
  <c r="O1860" i="3"/>
  <c r="O1859" i="3"/>
  <c r="O1858" i="3"/>
  <c r="O1857" i="3"/>
  <c r="O1856" i="3"/>
  <c r="O1855" i="3"/>
  <c r="E1853" i="3"/>
  <c r="E1852" i="3"/>
  <c r="O1851" i="3"/>
  <c r="O1850" i="3" s="1"/>
  <c r="O1849" i="3"/>
  <c r="O1847" i="3"/>
  <c r="O1845" i="3"/>
  <c r="O1844" i="3" s="1"/>
  <c r="C1842" i="3"/>
  <c r="E1840" i="3"/>
  <c r="O1810" i="3"/>
  <c r="O1809" i="3"/>
  <c r="C1808" i="3"/>
  <c r="O1807" i="3"/>
  <c r="O1805" i="3"/>
  <c r="O1804" i="3"/>
  <c r="H1804" i="3"/>
  <c r="O1803" i="3"/>
  <c r="O1802" i="3"/>
  <c r="H1802" i="3"/>
  <c r="O1801" i="3"/>
  <c r="O1800" i="3"/>
  <c r="H1800" i="3"/>
  <c r="O1799" i="3"/>
  <c r="O1798" i="3"/>
  <c r="H1798" i="3"/>
  <c r="O1797" i="3"/>
  <c r="O1796" i="3"/>
  <c r="H1796" i="3"/>
  <c r="O1795" i="3"/>
  <c r="O1794" i="3"/>
  <c r="H1794" i="3"/>
  <c r="O1793" i="3"/>
  <c r="O1792" i="3"/>
  <c r="H1792" i="3"/>
  <c r="O1791" i="3"/>
  <c r="O1790" i="3"/>
  <c r="H1790" i="3"/>
  <c r="O1789" i="3"/>
  <c r="O1788" i="3"/>
  <c r="H1788" i="3"/>
  <c r="O1787" i="3"/>
  <c r="O1786" i="3"/>
  <c r="H1786" i="3"/>
  <c r="O1785" i="3"/>
  <c r="O1784" i="3"/>
  <c r="H1784" i="3"/>
  <c r="O1783" i="3"/>
  <c r="O1782" i="3"/>
  <c r="H1782" i="3"/>
  <c r="O1781" i="3"/>
  <c r="O1780" i="3"/>
  <c r="H1780" i="3"/>
  <c r="O1779" i="3"/>
  <c r="O1778" i="3"/>
  <c r="H1778" i="3"/>
  <c r="O1777" i="3"/>
  <c r="E1776" i="3"/>
  <c r="O1774" i="3"/>
  <c r="O1773" i="3"/>
  <c r="O1772" i="3"/>
  <c r="O1770" i="3"/>
  <c r="O1769" i="3" s="1"/>
  <c r="O1768" i="3"/>
  <c r="O1767" i="3" s="1"/>
  <c r="O1766" i="3"/>
  <c r="O1765" i="3" s="1"/>
  <c r="O1764" i="3"/>
  <c r="O1763" i="3" s="1"/>
  <c r="O1762" i="3"/>
  <c r="O1760" i="3"/>
  <c r="O1758" i="3" s="1"/>
  <c r="O1757" i="3"/>
  <c r="O1756" i="3"/>
  <c r="O1754" i="3"/>
  <c r="O1753" i="3"/>
  <c r="O1751" i="3"/>
  <c r="O1750" i="3" s="1"/>
  <c r="O1748" i="3"/>
  <c r="O1747" i="3"/>
  <c r="O1746" i="3"/>
  <c r="C1745" i="3"/>
  <c r="C1748" i="3" s="1"/>
  <c r="C1699" i="3"/>
  <c r="C1701" i="3" s="1"/>
  <c r="E1701" i="3" s="1"/>
  <c r="E1697" i="3"/>
  <c r="O1694" i="3"/>
  <c r="O1693" i="3" s="1"/>
  <c r="O1692" i="3"/>
  <c r="O1691" i="3" s="1"/>
  <c r="O1690" i="3"/>
  <c r="O1689" i="3" s="1"/>
  <c r="O1688" i="3"/>
  <c r="O1687" i="3" s="1"/>
  <c r="O1686" i="3"/>
  <c r="O1685" i="3" s="1"/>
  <c r="O1684" i="3"/>
  <c r="O1683" i="3" s="1"/>
  <c r="O1682" i="3"/>
  <c r="O1681" i="3" s="1"/>
  <c r="O1680" i="3"/>
  <c r="O1679" i="3" s="1"/>
  <c r="O1678" i="3"/>
  <c r="O1677" i="3" s="1"/>
  <c r="O1676" i="3"/>
  <c r="O1675" i="3" s="1"/>
  <c r="O1674" i="3"/>
  <c r="O1673" i="3" s="1"/>
  <c r="O1672" i="3"/>
  <c r="O1671" i="3" s="1"/>
  <c r="O1670" i="3"/>
  <c r="O1669" i="3" s="1"/>
  <c r="O1668" i="3"/>
  <c r="O1667" i="3" s="1"/>
  <c r="O1666" i="3"/>
  <c r="O1665" i="3" s="1"/>
  <c r="O1664" i="3"/>
  <c r="O1663" i="3" s="1"/>
  <c r="O1662" i="3"/>
  <c r="O1661" i="3" s="1"/>
  <c r="O1660" i="3"/>
  <c r="O1659" i="3" s="1"/>
  <c r="O1658" i="3"/>
  <c r="O1657" i="3" s="1"/>
  <c r="O1656" i="3"/>
  <c r="O1655" i="3" s="1"/>
  <c r="O1654" i="3"/>
  <c r="O1653" i="3" s="1"/>
  <c r="O1652" i="3"/>
  <c r="O1651" i="3" s="1"/>
  <c r="O1650" i="3"/>
  <c r="O1649" i="3" s="1"/>
  <c r="O1648" i="3"/>
  <c r="O1647" i="3" s="1"/>
  <c r="O1646" i="3"/>
  <c r="O1645" i="3" s="1"/>
  <c r="C1645" i="3"/>
  <c r="C1647" i="3" s="1"/>
  <c r="O1644" i="3"/>
  <c r="O1643" i="3" s="1"/>
  <c r="E1643" i="3"/>
  <c r="O1641" i="3"/>
  <c r="O1640" i="3" s="1"/>
  <c r="O1639" i="3"/>
  <c r="O1638" i="3" s="1"/>
  <c r="O1637" i="3"/>
  <c r="O1636" i="3" s="1"/>
  <c r="O1635" i="3"/>
  <c r="O1634" i="3" s="1"/>
  <c r="O1633" i="3"/>
  <c r="O1632" i="3" s="1"/>
  <c r="O1631" i="3"/>
  <c r="O1630" i="3" s="1"/>
  <c r="O1629" i="3"/>
  <c r="O1628" i="3" s="1"/>
  <c r="O1627" i="3"/>
  <c r="O1626" i="3" s="1"/>
  <c r="O1625" i="3"/>
  <c r="O1624" i="3" s="1"/>
  <c r="O1623" i="3"/>
  <c r="O1622" i="3" s="1"/>
  <c r="C1622" i="3"/>
  <c r="E1622" i="3" s="1"/>
  <c r="O1621" i="3"/>
  <c r="O1620" i="3" s="1"/>
  <c r="O1619" i="3"/>
  <c r="O1618" i="3" s="1"/>
  <c r="O1617" i="3"/>
  <c r="O1616" i="3" s="1"/>
  <c r="O1615" i="3"/>
  <c r="O1614" i="3" s="1"/>
  <c r="C1614" i="3"/>
  <c r="C1616" i="3" s="1"/>
  <c r="O1613" i="3"/>
  <c r="O1612" i="3" s="1"/>
  <c r="E1612" i="3"/>
  <c r="O1610" i="3"/>
  <c r="O1609" i="3" s="1"/>
  <c r="P1609" i="3"/>
  <c r="O1608" i="3"/>
  <c r="O1607" i="3" s="1"/>
  <c r="P1607" i="3"/>
  <c r="O1606" i="3"/>
  <c r="O1605" i="3" s="1"/>
  <c r="P1605" i="3"/>
  <c r="O1604" i="3"/>
  <c r="O1603" i="3" s="1"/>
  <c r="P1603" i="3"/>
  <c r="O1602" i="3"/>
  <c r="O1601" i="3" s="1"/>
  <c r="P1601" i="3"/>
  <c r="O1600" i="3"/>
  <c r="O1599" i="3" s="1"/>
  <c r="P1599" i="3"/>
  <c r="O1598" i="3"/>
  <c r="O1597" i="3" s="1"/>
  <c r="P1597" i="3"/>
  <c r="O1596" i="3"/>
  <c r="O1595" i="3" s="1"/>
  <c r="P1595" i="3"/>
  <c r="O1594" i="3"/>
  <c r="O1593" i="3" s="1"/>
  <c r="P1593" i="3"/>
  <c r="O1592" i="3"/>
  <c r="O1591" i="3" s="1"/>
  <c r="P1591" i="3"/>
  <c r="O1590" i="3"/>
  <c r="O1589" i="3" s="1"/>
  <c r="P1589" i="3"/>
  <c r="O1588" i="3"/>
  <c r="O1587" i="3" s="1"/>
  <c r="P1587" i="3"/>
  <c r="O1586" i="3"/>
  <c r="O1585" i="3" s="1"/>
  <c r="P1585" i="3"/>
  <c r="O1584" i="3"/>
  <c r="O1583" i="3" s="1"/>
  <c r="P1583" i="3"/>
  <c r="O1582" i="3"/>
  <c r="O1581" i="3" s="1"/>
  <c r="P1581" i="3"/>
  <c r="O1580" i="3"/>
  <c r="O1579" i="3" s="1"/>
  <c r="P1579" i="3"/>
  <c r="O1578" i="3"/>
  <c r="O1577" i="3" s="1"/>
  <c r="P1577" i="3"/>
  <c r="N1576" i="3"/>
  <c r="O1576" i="3" s="1"/>
  <c r="O1575" i="3" s="1"/>
  <c r="P1575" i="3"/>
  <c r="O1574" i="3"/>
  <c r="O1573" i="3" s="1"/>
  <c r="P1573" i="3"/>
  <c r="O1572" i="3"/>
  <c r="O1571" i="3" s="1"/>
  <c r="P1571" i="3"/>
  <c r="O1570" i="3"/>
  <c r="O1569" i="3" s="1"/>
  <c r="P1569" i="3"/>
  <c r="O1568" i="3"/>
  <c r="O1567" i="3" s="1"/>
  <c r="P1567" i="3"/>
  <c r="O1566" i="3"/>
  <c r="O1565" i="3" s="1"/>
  <c r="P1565" i="3"/>
  <c r="O1564" i="3"/>
  <c r="O1563" i="3" s="1"/>
  <c r="P1563" i="3"/>
  <c r="O1562" i="3"/>
  <c r="O1561" i="3" s="1"/>
  <c r="P1561" i="3"/>
  <c r="N1560" i="3"/>
  <c r="O1560" i="3" s="1"/>
  <c r="O1559" i="3" s="1"/>
  <c r="P1559" i="3"/>
  <c r="O1558" i="3"/>
  <c r="O1557" i="3" s="1"/>
  <c r="P1557" i="3"/>
  <c r="O1556" i="3"/>
  <c r="O1555" i="3" s="1"/>
  <c r="P1555" i="3"/>
  <c r="N1554" i="3"/>
  <c r="O1554" i="3" s="1"/>
  <c r="O1553" i="3" s="1"/>
  <c r="P1553" i="3"/>
  <c r="O1552" i="3"/>
  <c r="O1551" i="3" s="1"/>
  <c r="P1551" i="3"/>
  <c r="O1550" i="3"/>
  <c r="O1549" i="3" s="1"/>
  <c r="P1549" i="3"/>
  <c r="O1548" i="3"/>
  <c r="O1547" i="3" s="1"/>
  <c r="P1547" i="3"/>
  <c r="O1546" i="3"/>
  <c r="O1545" i="3" s="1"/>
  <c r="P1545" i="3"/>
  <c r="O1544" i="3"/>
  <c r="O1543" i="3" s="1"/>
  <c r="P1543" i="3"/>
  <c r="O1542" i="3"/>
  <c r="O1541" i="3" s="1"/>
  <c r="P1541" i="3"/>
  <c r="O1540" i="3"/>
  <c r="O1539" i="3" s="1"/>
  <c r="P1539" i="3"/>
  <c r="O1538" i="3"/>
  <c r="O1537" i="3" s="1"/>
  <c r="P1537" i="3"/>
  <c r="O1536" i="3"/>
  <c r="O1535" i="3" s="1"/>
  <c r="P1535" i="3"/>
  <c r="O1534" i="3"/>
  <c r="O1533" i="3" s="1"/>
  <c r="P1533" i="3"/>
  <c r="O1532" i="3"/>
  <c r="O1531" i="3" s="1"/>
  <c r="P1531" i="3"/>
  <c r="N1530" i="3"/>
  <c r="O1530" i="3" s="1"/>
  <c r="O1529" i="3" s="1"/>
  <c r="P1529" i="3"/>
  <c r="O1528" i="3"/>
  <c r="O1527" i="3" s="1"/>
  <c r="P1527" i="3"/>
  <c r="O1526" i="3"/>
  <c r="O1525" i="3" s="1"/>
  <c r="O1524" i="3"/>
  <c r="O1523" i="3" s="1"/>
  <c r="O1522" i="3"/>
  <c r="O1521" i="3" s="1"/>
  <c r="O1520" i="3"/>
  <c r="O1519" i="3" s="1"/>
  <c r="O1518" i="3"/>
  <c r="O1517" i="3" s="1"/>
  <c r="O1516" i="3"/>
  <c r="O1515" i="3" s="1"/>
  <c r="O1514" i="3"/>
  <c r="O1513" i="3" s="1"/>
  <c r="O1512" i="3"/>
  <c r="O1511" i="3" s="1"/>
  <c r="O1510" i="3"/>
  <c r="O1509" i="3" s="1"/>
  <c r="O1508" i="3"/>
  <c r="O1507" i="3" s="1"/>
  <c r="O1506" i="3"/>
  <c r="O1505" i="3" s="1"/>
  <c r="C1505" i="3"/>
  <c r="E1505" i="3" s="1"/>
  <c r="O1504" i="3"/>
  <c r="O1503" i="3" s="1"/>
  <c r="E1503" i="3"/>
  <c r="O1501" i="3"/>
  <c r="O1499" i="3"/>
  <c r="O1498" i="3" s="1"/>
  <c r="O1497" i="3"/>
  <c r="O1496" i="3" s="1"/>
  <c r="O1495" i="3"/>
  <c r="O1494" i="3" s="1"/>
  <c r="O1493" i="3"/>
  <c r="O1492" i="3" s="1"/>
  <c r="O1491" i="3"/>
  <c r="O1490" i="3" s="1"/>
  <c r="C1490" i="3"/>
  <c r="C1492" i="3" s="1"/>
  <c r="E1492" i="3" s="1"/>
  <c r="O1489" i="3"/>
  <c r="O1488" i="3" s="1"/>
  <c r="E1488" i="3"/>
  <c r="O1486" i="3"/>
  <c r="O1485" i="3" s="1"/>
  <c r="O1484" i="3"/>
  <c r="O1483" i="3" s="1"/>
  <c r="O1482" i="3"/>
  <c r="O1481" i="3" s="1"/>
  <c r="O1480" i="3"/>
  <c r="O1479" i="3" s="1"/>
  <c r="O1478" i="3"/>
  <c r="O1477" i="3" s="1"/>
  <c r="O1476" i="3"/>
  <c r="O1475" i="3" s="1"/>
  <c r="O1474" i="3"/>
  <c r="O1473" i="3" s="1"/>
  <c r="O1472" i="3"/>
  <c r="O1471" i="3" s="1"/>
  <c r="O1470" i="3"/>
  <c r="O1469" i="3" s="1"/>
  <c r="O1468" i="3"/>
  <c r="O1467" i="3" s="1"/>
  <c r="O1466" i="3"/>
  <c r="O1465" i="3" s="1"/>
  <c r="O1464" i="3"/>
  <c r="O1463" i="3" s="1"/>
  <c r="O1462" i="3"/>
  <c r="O1461" i="3" s="1"/>
  <c r="D1461" i="3"/>
  <c r="E1461" i="3" s="1"/>
  <c r="O1459" i="3"/>
  <c r="O1458" i="3" s="1"/>
  <c r="O1457" i="3"/>
  <c r="O1456" i="3" s="1"/>
  <c r="O1455" i="3"/>
  <c r="O1454" i="3"/>
  <c r="O1453" i="3" s="1"/>
  <c r="O1452" i="3"/>
  <c r="O1450" i="3"/>
  <c r="O1448" i="3"/>
  <c r="O1447" i="3"/>
  <c r="O1445" i="3"/>
  <c r="O1440" i="3"/>
  <c r="O1439" i="3" s="1"/>
  <c r="O1435" i="3"/>
  <c r="O1434" i="3" s="1"/>
  <c r="O1433" i="3"/>
  <c r="O1432" i="3"/>
  <c r="O1431" i="3"/>
  <c r="O1430" i="3"/>
  <c r="O1429" i="3"/>
  <c r="O1428" i="3" s="1"/>
  <c r="O1427" i="3"/>
  <c r="O1426" i="3" s="1"/>
  <c r="O1424" i="3"/>
  <c r="O1423" i="3"/>
  <c r="O1422" i="3" s="1"/>
  <c r="O1421" i="3"/>
  <c r="O1420" i="3"/>
  <c r="O1418" i="3"/>
  <c r="O1417" i="3" s="1"/>
  <c r="O1416" i="3"/>
  <c r="O1415" i="3"/>
  <c r="O1414" i="3"/>
  <c r="O1413" i="3"/>
  <c r="O1412" i="3" s="1"/>
  <c r="O1411" i="3"/>
  <c r="O1409" i="3"/>
  <c r="O1408" i="3" s="1"/>
  <c r="O1407" i="3"/>
  <c r="O1406" i="3" s="1"/>
  <c r="O1401" i="3"/>
  <c r="O1400" i="3" s="1"/>
  <c r="O1399" i="3"/>
  <c r="O1398" i="3" s="1"/>
  <c r="O1397" i="3"/>
  <c r="O1395" i="3"/>
  <c r="O1394" i="3" s="1"/>
  <c r="O1393" i="3"/>
  <c r="O1392" i="3" s="1"/>
  <c r="O1391" i="3"/>
  <c r="O1390" i="3" s="1"/>
  <c r="O1389" i="3"/>
  <c r="O1388" i="3" s="1"/>
  <c r="O1387" i="3"/>
  <c r="O1385" i="3"/>
  <c r="O1383" i="3"/>
  <c r="D1382" i="3"/>
  <c r="D1384" i="3" s="1"/>
  <c r="O1381" i="3"/>
  <c r="E1380" i="3"/>
  <c r="O1370" i="3"/>
  <c r="O1369" i="3" s="1"/>
  <c r="O1368" i="3"/>
  <c r="O1367" i="3" s="1"/>
  <c r="O1366" i="3"/>
  <c r="O1365" i="3" s="1"/>
  <c r="O1364" i="3"/>
  <c r="O1363" i="3" s="1"/>
  <c r="O1362" i="3"/>
  <c r="O1361" i="3" s="1"/>
  <c r="O1360" i="3"/>
  <c r="O1359" i="3" s="1"/>
  <c r="O1358" i="3"/>
  <c r="O1357" i="3" s="1"/>
  <c r="O1356" i="3"/>
  <c r="O1355" i="3" s="1"/>
  <c r="O1354" i="3"/>
  <c r="O1353" i="3" s="1"/>
  <c r="O1352" i="3"/>
  <c r="O1351" i="3" s="1"/>
  <c r="O1350" i="3"/>
  <c r="O1349" i="3" s="1"/>
  <c r="O1348" i="3"/>
  <c r="O1347" i="3" s="1"/>
  <c r="O1346" i="3"/>
  <c r="O1345" i="3" s="1"/>
  <c r="O1344" i="3"/>
  <c r="O1343" i="3" s="1"/>
  <c r="O1342" i="3"/>
  <c r="O1341" i="3" s="1"/>
  <c r="O1340" i="3"/>
  <c r="O1339" i="3" s="1"/>
  <c r="O1338" i="3"/>
  <c r="O1337" i="3" s="1"/>
  <c r="O1336" i="3"/>
  <c r="O1335" i="3" s="1"/>
  <c r="O1334" i="3"/>
  <c r="O1333" i="3" s="1"/>
  <c r="O1332" i="3"/>
  <c r="O1331" i="3" s="1"/>
  <c r="O1330" i="3"/>
  <c r="O1329" i="3" s="1"/>
  <c r="O1328" i="3"/>
  <c r="O1327" i="3" s="1"/>
  <c r="D1327" i="3"/>
  <c r="D1329" i="3" s="1"/>
  <c r="E1329" i="3" s="1"/>
  <c r="O1326" i="3"/>
  <c r="O1325" i="3" s="1"/>
  <c r="E1325" i="3"/>
  <c r="O1323" i="3"/>
  <c r="O1322" i="3" s="1"/>
  <c r="O1321" i="3"/>
  <c r="O1320" i="3" s="1"/>
  <c r="O1319" i="3"/>
  <c r="O1318" i="3" s="1"/>
  <c r="O1317" i="3"/>
  <c r="O1316" i="3" s="1"/>
  <c r="O1315" i="3"/>
  <c r="O1314" i="3" s="1"/>
  <c r="O1313" i="3"/>
  <c r="O1312" i="3" s="1"/>
  <c r="O1311" i="3"/>
  <c r="O1310" i="3" s="1"/>
  <c r="O1309" i="3"/>
  <c r="O1308" i="3" s="1"/>
  <c r="O1307" i="3"/>
  <c r="O1306" i="3" s="1"/>
  <c r="O1305" i="3"/>
  <c r="O1304" i="3" s="1"/>
  <c r="O1303" i="3"/>
  <c r="O1302" i="3" s="1"/>
  <c r="O1301" i="3"/>
  <c r="O1300" i="3" s="1"/>
  <c r="O1299" i="3"/>
  <c r="O1298" i="3" s="1"/>
  <c r="O1297" i="3"/>
  <c r="O1296" i="3" s="1"/>
  <c r="O1295" i="3"/>
  <c r="O1294" i="3" s="1"/>
  <c r="O1293" i="3"/>
  <c r="O1292" i="3" s="1"/>
  <c r="N1289" i="3"/>
  <c r="O1289" i="3" s="1"/>
  <c r="O1288" i="3" s="1"/>
  <c r="O1287" i="3"/>
  <c r="O1286" i="3" s="1"/>
  <c r="N1285" i="3"/>
  <c r="O1285" i="3" s="1"/>
  <c r="O1284" i="3" s="1"/>
  <c r="O1283" i="3"/>
  <c r="O1282" i="3" s="1"/>
  <c r="O1281" i="3"/>
  <c r="O1280" i="3" s="1"/>
  <c r="O1279" i="3"/>
  <c r="O1278" i="3" s="1"/>
  <c r="N1277" i="3"/>
  <c r="O1277" i="3" s="1"/>
  <c r="O1276" i="3" s="1"/>
  <c r="O1275" i="3"/>
  <c r="O1274" i="3" s="1"/>
  <c r="O1273" i="3"/>
  <c r="O1272" i="3" s="1"/>
  <c r="O1271" i="3"/>
  <c r="O1270" i="3" s="1"/>
  <c r="O1269" i="3"/>
  <c r="O1268" i="3" s="1"/>
  <c r="O1267" i="3"/>
  <c r="O1266" i="3" s="1"/>
  <c r="O1265" i="3"/>
  <c r="O1264" i="3" s="1"/>
  <c r="O1263" i="3"/>
  <c r="O1262" i="3" s="1"/>
  <c r="O1261" i="3"/>
  <c r="O1260" i="3" s="1"/>
  <c r="O1259" i="3"/>
  <c r="O1258" i="3" s="1"/>
  <c r="O1257" i="3"/>
  <c r="O1256" i="3" s="1"/>
  <c r="O1255" i="3"/>
  <c r="O1254" i="3" s="1"/>
  <c r="O1253" i="3"/>
  <c r="O1252" i="3" s="1"/>
  <c r="O1251" i="3"/>
  <c r="O1250" i="3" s="1"/>
  <c r="O1249" i="3"/>
  <c r="O1248" i="3" s="1"/>
  <c r="O1247" i="3"/>
  <c r="O1246" i="3" s="1"/>
  <c r="O1245" i="3"/>
  <c r="O1244" i="3" s="1"/>
  <c r="O1243" i="3"/>
  <c r="O1242" i="3" s="1"/>
  <c r="O1241" i="3"/>
  <c r="O1240" i="3" s="1"/>
  <c r="O1239" i="3"/>
  <c r="O1238" i="3" s="1"/>
  <c r="O1237" i="3"/>
  <c r="O1236" i="3" s="1"/>
  <c r="O1235" i="3"/>
  <c r="O1234" i="3" s="1"/>
  <c r="O1233" i="3"/>
  <c r="O1232" i="3" s="1"/>
  <c r="O1231" i="3"/>
  <c r="O1230" i="3" s="1"/>
  <c r="O1229" i="3"/>
  <c r="O1228" i="3" s="1"/>
  <c r="O1227" i="3"/>
  <c r="O1226" i="3" s="1"/>
  <c r="O1225" i="3"/>
  <c r="O1224" i="3" s="1"/>
  <c r="O1223" i="3"/>
  <c r="O1222" i="3" s="1"/>
  <c r="O1221" i="3"/>
  <c r="O1220" i="3" s="1"/>
  <c r="O1219" i="3"/>
  <c r="O1218" i="3" s="1"/>
  <c r="O1217" i="3"/>
  <c r="O1216" i="3" s="1"/>
  <c r="O1215" i="3"/>
  <c r="O1214" i="3" s="1"/>
  <c r="O1213" i="3"/>
  <c r="O1212" i="3" s="1"/>
  <c r="O1211" i="3"/>
  <c r="O1210" i="3" s="1"/>
  <c r="O1209" i="3"/>
  <c r="O1207" i="3"/>
  <c r="O1205" i="3"/>
  <c r="O1203" i="3"/>
  <c r="O1202" i="3" s="1"/>
  <c r="C1202" i="3"/>
  <c r="C1204" i="3" s="1"/>
  <c r="O1201" i="3"/>
  <c r="E1200" i="3"/>
  <c r="O1198" i="3"/>
  <c r="C1174" i="3"/>
  <c r="C1179" i="3" s="1"/>
  <c r="O816" i="3"/>
  <c r="O815" i="3"/>
  <c r="O813" i="3"/>
  <c r="O812" i="3"/>
  <c r="O811" i="3"/>
  <c r="O810" i="3"/>
  <c r="C807" i="3"/>
  <c r="C817" i="3" s="1"/>
  <c r="E700" i="3"/>
  <c r="K698" i="3"/>
  <c r="O698" i="3" s="1"/>
  <c r="K697" i="3"/>
  <c r="O697" i="3" s="1"/>
  <c r="C695" i="3"/>
  <c r="E695" i="3" s="1"/>
  <c r="O694" i="3"/>
  <c r="O693" i="3" s="1"/>
  <c r="C452" i="3"/>
  <c r="E452" i="3" s="1"/>
  <c r="E408" i="3"/>
  <c r="O406" i="3"/>
  <c r="O405" i="3"/>
  <c r="O397" i="3"/>
  <c r="O395" i="3"/>
  <c r="O393" i="3"/>
  <c r="O391" i="3"/>
  <c r="O389" i="3"/>
  <c r="O387" i="3"/>
  <c r="O385" i="3"/>
  <c r="O383" i="3"/>
  <c r="O381" i="3"/>
  <c r="O379" i="3"/>
  <c r="O377" i="3"/>
  <c r="O374" i="3"/>
  <c r="O373" i="3"/>
  <c r="O371" i="3"/>
  <c r="O370" i="3"/>
  <c r="O369" i="3"/>
  <c r="O368" i="3"/>
  <c r="O362" i="3"/>
  <c r="O361" i="3"/>
  <c r="O360" i="3"/>
  <c r="O359" i="3"/>
  <c r="O358" i="3"/>
  <c r="O357" i="3"/>
  <c r="O356" i="3"/>
  <c r="C351" i="3"/>
  <c r="E351" i="3" s="1"/>
  <c r="O329" i="3"/>
  <c r="E328" i="3"/>
  <c r="O326" i="3"/>
  <c r="O306" i="3"/>
  <c r="O300" i="3"/>
  <c r="O294" i="3"/>
  <c r="O293" i="3" s="1"/>
  <c r="C293" i="3"/>
  <c r="C299" i="3" s="1"/>
  <c r="O269" i="3"/>
  <c r="O268" i="3"/>
  <c r="O267" i="3"/>
  <c r="O266" i="3"/>
  <c r="O265" i="3"/>
  <c r="O249" i="3"/>
  <c r="O248" i="3"/>
  <c r="C245" i="3"/>
  <c r="H240" i="3"/>
  <c r="H238" i="3"/>
  <c r="H236" i="3"/>
  <c r="H234" i="3"/>
  <c r="H232" i="3"/>
  <c r="H230" i="3"/>
  <c r="H228" i="3"/>
  <c r="H212" i="3"/>
  <c r="H210" i="3"/>
  <c r="H208" i="3"/>
  <c r="H206" i="3"/>
  <c r="H204" i="3"/>
  <c r="O202" i="3"/>
  <c r="E128" i="3"/>
  <c r="C91" i="3"/>
  <c r="E86" i="3"/>
  <c r="C35" i="3"/>
  <c r="C38" i="3" s="1"/>
  <c r="E33" i="3"/>
  <c r="O28" i="3"/>
  <c r="O26" i="3"/>
  <c r="O24" i="3"/>
  <c r="O23" i="3"/>
  <c r="B23" i="3"/>
  <c r="B24" i="3" s="1"/>
  <c r="B26" i="3" s="1"/>
  <c r="B27" i="3" s="1"/>
  <c r="O22" i="3"/>
  <c r="E22" i="3"/>
  <c r="O19" i="3"/>
  <c r="O18" i="3"/>
  <c r="O16" i="3"/>
  <c r="O15" i="3"/>
  <c r="O14" i="3"/>
  <c r="O13" i="3"/>
  <c r="O12" i="3"/>
  <c r="O11" i="3"/>
  <c r="O10" i="3"/>
  <c r="O9" i="3"/>
  <c r="O7" i="3"/>
  <c r="O5" i="3"/>
  <c r="O2141" i="3" l="1"/>
  <c r="O1853" i="3"/>
  <c r="O308" i="3"/>
  <c r="O264" i="3"/>
  <c r="O583" i="3"/>
  <c r="O497" i="3"/>
  <c r="O408" i="3"/>
  <c r="O452" i="3"/>
  <c r="N1195" i="3"/>
  <c r="O1195" i="3" s="1"/>
  <c r="O1131" i="3"/>
  <c r="O1128" i="3"/>
  <c r="O1067" i="3"/>
  <c r="O673" i="3"/>
  <c r="O982" i="3"/>
  <c r="O967" i="3"/>
  <c r="N1008" i="3"/>
  <c r="O1008" i="3" s="1"/>
  <c r="O1165" i="3"/>
  <c r="C1136" i="3"/>
  <c r="E1136" i="3" s="1"/>
  <c r="K997" i="3"/>
  <c r="K1007" i="3" s="1"/>
  <c r="O1007" i="3" s="1"/>
  <c r="N971" i="3"/>
  <c r="O971" i="3" s="1"/>
  <c r="O768" i="3"/>
  <c r="K761" i="3"/>
  <c r="O761" i="3" s="1"/>
  <c r="N762" i="3"/>
  <c r="O762" i="3" s="1"/>
  <c r="K784" i="3"/>
  <c r="O784" i="3" s="1"/>
  <c r="O747" i="3"/>
  <c r="O729" i="3"/>
  <c r="O751" i="3"/>
  <c r="O749" i="3"/>
  <c r="O753" i="3"/>
  <c r="O735" i="3"/>
  <c r="O620" i="3"/>
  <c r="O320" i="3"/>
  <c r="O247" i="3"/>
  <c r="O252" i="3"/>
  <c r="O2843" i="3"/>
  <c r="O1419" i="3"/>
  <c r="O2763" i="3"/>
  <c r="O1382" i="3"/>
  <c r="O1752" i="3"/>
  <c r="O1451" i="3"/>
  <c r="O2042" i="3"/>
  <c r="O1755" i="3"/>
  <c r="O2972" i="3"/>
  <c r="O1386" i="3"/>
  <c r="O2431" i="3"/>
  <c r="O1446" i="3"/>
  <c r="O1848" i="3"/>
  <c r="O1500" i="3"/>
  <c r="O1745" i="3"/>
  <c r="O4504" i="3"/>
  <c r="O4704" i="3"/>
  <c r="O1208" i="3"/>
  <c r="O5007" i="3"/>
  <c r="O4936" i="3"/>
  <c r="O1449" i="3"/>
  <c r="O2199" i="3"/>
  <c r="O2569" i="3"/>
  <c r="C4230" i="3"/>
  <c r="E4230" i="3" s="1"/>
  <c r="O5075" i="3"/>
  <c r="O2205" i="3"/>
  <c r="O2753" i="3"/>
  <c r="O5179" i="3"/>
  <c r="O4933" i="3"/>
  <c r="O5198" i="3"/>
  <c r="E2920" i="3"/>
  <c r="O5189" i="3"/>
  <c r="O404" i="3"/>
  <c r="O2969" i="3"/>
  <c r="O2433" i="3"/>
  <c r="O3424" i="3"/>
  <c r="O5010" i="3"/>
  <c r="C2512" i="3"/>
  <c r="C2514" i="3" s="1"/>
  <c r="C2516" i="3" s="1"/>
  <c r="C2518" i="3" s="1"/>
  <c r="O1846" i="3"/>
  <c r="O4906" i="3"/>
  <c r="D3131" i="3"/>
  <c r="D3133" i="3" s="1"/>
  <c r="D3135" i="3" s="1"/>
  <c r="D4736" i="3"/>
  <c r="D4738" i="3" s="1"/>
  <c r="E4738" i="3" s="1"/>
  <c r="O4976" i="3"/>
  <c r="C1624" i="3"/>
  <c r="C1626" i="3" s="1"/>
  <c r="O5033" i="3"/>
  <c r="O254" i="3"/>
  <c r="O1384" i="3"/>
  <c r="C4781" i="3"/>
  <c r="C4783" i="3" s="1"/>
  <c r="C4785" i="3" s="1"/>
  <c r="E4785" i="3" s="1"/>
  <c r="O4941" i="3"/>
  <c r="E1174" i="3"/>
  <c r="O4944" i="3"/>
  <c r="O5221" i="3"/>
  <c r="N5230" i="3" s="1"/>
  <c r="O5230" i="3" s="1"/>
  <c r="E2468" i="3"/>
  <c r="D2470" i="3"/>
  <c r="D2472" i="3" s="1"/>
  <c r="D2474" i="3" s="1"/>
  <c r="D3086" i="3"/>
  <c r="D3088" i="3" s="1"/>
  <c r="E3084" i="3"/>
  <c r="O2755" i="3"/>
  <c r="E4286" i="3"/>
  <c r="E4353" i="3"/>
  <c r="O5072" i="3"/>
  <c r="E5082" i="3"/>
  <c r="O3430" i="3"/>
  <c r="C1954" i="3"/>
  <c r="O5016" i="3"/>
  <c r="C2761" i="3"/>
  <c r="E2761" i="3" s="1"/>
  <c r="O3200" i="3"/>
  <c r="O2958" i="3"/>
  <c r="E3357" i="3"/>
  <c r="E2466" i="3"/>
  <c r="C4247" i="3"/>
  <c r="C4249" i="3" s="1"/>
  <c r="E1869" i="3"/>
  <c r="O5004" i="3"/>
  <c r="E1699" i="3"/>
  <c r="D3515" i="3"/>
  <c r="D3523" i="3" s="1"/>
  <c r="E3923" i="3"/>
  <c r="E4758" i="3"/>
  <c r="O5050" i="3"/>
  <c r="O5195" i="3"/>
  <c r="O925" i="3"/>
  <c r="N1171" i="3" s="1"/>
  <c r="O1171" i="3" s="1"/>
  <c r="E2685" i="3"/>
  <c r="C4029" i="3"/>
  <c r="C4031" i="3" s="1"/>
  <c r="E4031" i="3" s="1"/>
  <c r="D4662" i="3"/>
  <c r="D4664" i="3" s="1"/>
  <c r="E4664" i="3" s="1"/>
  <c r="O4930" i="3"/>
  <c r="O328" i="3"/>
  <c r="O1410" i="3"/>
  <c r="O4921" i="3"/>
  <c r="O5056" i="3"/>
  <c r="O1396" i="3"/>
  <c r="O2853" i="3"/>
  <c r="C3335" i="3"/>
  <c r="O3405" i="3"/>
  <c r="O3839" i="3"/>
  <c r="O4043" i="3"/>
  <c r="D4217" i="3"/>
  <c r="D4219" i="3" s="1"/>
  <c r="E4219" i="3" s="1"/>
  <c r="O1206" i="3"/>
  <c r="D2392" i="3"/>
  <c r="E2392" i="3" s="1"/>
  <c r="E2390" i="3"/>
  <c r="O3837" i="3"/>
  <c r="E4190" i="3"/>
  <c r="E4900" i="3"/>
  <c r="E4894" i="3"/>
  <c r="O4900" i="3"/>
  <c r="E4357" i="3"/>
  <c r="D4359" i="3"/>
  <c r="E4192" i="3"/>
  <c r="D4194" i="3"/>
  <c r="D4196" i="3" s="1"/>
  <c r="O1922" i="3"/>
  <c r="C2781" i="3"/>
  <c r="E2772" i="3"/>
  <c r="C2173" i="3"/>
  <c r="C2175" i="3" s="1"/>
  <c r="C2177" i="3" s="1"/>
  <c r="E2177" i="3" s="1"/>
  <c r="E2922" i="3"/>
  <c r="E3177" i="3"/>
  <c r="C3179" i="3"/>
  <c r="E3179" i="3" s="1"/>
  <c r="E3775" i="3"/>
  <c r="C3788" i="3"/>
  <c r="E3788" i="3" s="1"/>
  <c r="E4144" i="3"/>
  <c r="O4917" i="3"/>
  <c r="E4648" i="3"/>
  <c r="C5086" i="3"/>
  <c r="E5084" i="3"/>
  <c r="C5054" i="3"/>
  <c r="E5050" i="3"/>
  <c r="C1206" i="3"/>
  <c r="C1208" i="3" s="1"/>
  <c r="E1208" i="3" s="1"/>
  <c r="E1204" i="3"/>
  <c r="D4343" i="3"/>
  <c r="E4343" i="3" s="1"/>
  <c r="C4911" i="3"/>
  <c r="E4906" i="3"/>
  <c r="E1327" i="3"/>
  <c r="O2804" i="3"/>
  <c r="O2841" i="3"/>
  <c r="E2858" i="3"/>
  <c r="O299" i="3"/>
  <c r="E35" i="3"/>
  <c r="E91" i="3"/>
  <c r="C95" i="3"/>
  <c r="E95" i="3" s="1"/>
  <c r="O807" i="3"/>
  <c r="C1494" i="3"/>
  <c r="D2349" i="3"/>
  <c r="D2351" i="3" s="1"/>
  <c r="C3194" i="3"/>
  <c r="E3192" i="3"/>
  <c r="O2164" i="3"/>
  <c r="O3969" i="3"/>
  <c r="E1202" i="3"/>
  <c r="D3065" i="3"/>
  <c r="O3843" i="3"/>
  <c r="E23" i="3"/>
  <c r="C497" i="3"/>
  <c r="C542" i="3" s="1"/>
  <c r="E542" i="3" s="1"/>
  <c r="O2202" i="3"/>
  <c r="O2781" i="3"/>
  <c r="E3190" i="3"/>
  <c r="C3405" i="3"/>
  <c r="C4005" i="3"/>
  <c r="E4005" i="3" s="1"/>
  <c r="E4500" i="3"/>
  <c r="E4775" i="3"/>
  <c r="O3379" i="3"/>
  <c r="O1916" i="3"/>
  <c r="O2008" i="3"/>
  <c r="O3907" i="3"/>
  <c r="D1331" i="3"/>
  <c r="D1333" i="3" s="1"/>
  <c r="E1333" i="3" s="1"/>
  <c r="O1761" i="3"/>
  <c r="E3424" i="3"/>
  <c r="C3554" i="3"/>
  <c r="E3552" i="3"/>
  <c r="C5161" i="3"/>
  <c r="C5163" i="3" s="1"/>
  <c r="C5165" i="3" s="1"/>
  <c r="E5165" i="3" s="1"/>
  <c r="E5159" i="3"/>
  <c r="O3394" i="3"/>
  <c r="E3885" i="3"/>
  <c r="C3890" i="3"/>
  <c r="D1463" i="3"/>
  <c r="D1465" i="3" s="1"/>
  <c r="D1467" i="3" s="1"/>
  <c r="E2042" i="3"/>
  <c r="E1614" i="3"/>
  <c r="O1869" i="3"/>
  <c r="E1842" i="3"/>
  <c r="C1844" i="3"/>
  <c r="C1846" i="3" s="1"/>
  <c r="O2077" i="3"/>
  <c r="O3932" i="3"/>
  <c r="O27" i="3"/>
  <c r="N30" i="3" s="1"/>
  <c r="O30" i="3" s="1"/>
  <c r="O29" i="3" s="1"/>
  <c r="E3980" i="3"/>
  <c r="O1197" i="3"/>
  <c r="O1200" i="3"/>
  <c r="E807" i="3"/>
  <c r="O633" i="3"/>
  <c r="O690" i="3"/>
  <c r="O542" i="3"/>
  <c r="E24" i="3"/>
  <c r="O401" i="3"/>
  <c r="C2151" i="3"/>
  <c r="O2742" i="3"/>
  <c r="O4691" i="3"/>
  <c r="O4889" i="3"/>
  <c r="O4992" i="3"/>
  <c r="O4894" i="3"/>
  <c r="O1776" i="3"/>
  <c r="E2817" i="3"/>
  <c r="E2972" i="3"/>
  <c r="C2975" i="3"/>
  <c r="O4963" i="3"/>
  <c r="E5177" i="3"/>
  <c r="E4426" i="3"/>
  <c r="O4954" i="3"/>
  <c r="O4971" i="3"/>
  <c r="O4981" i="3"/>
  <c r="O5023" i="3"/>
  <c r="O5218" i="3"/>
  <c r="O1204" i="3"/>
  <c r="O1954" i="3"/>
  <c r="O2435" i="3"/>
  <c r="O2765" i="3"/>
  <c r="O2809" i="3"/>
  <c r="O2846" i="3"/>
  <c r="O2873" i="3"/>
  <c r="O2891" i="3"/>
  <c r="O3211" i="3"/>
  <c r="O5069" i="3"/>
  <c r="O4999" i="3"/>
  <c r="O5201" i="3"/>
  <c r="N5231" i="3" s="1"/>
  <c r="O5231" i="3" s="1"/>
  <c r="O695" i="3"/>
  <c r="O1444" i="3"/>
  <c r="O1808" i="3"/>
  <c r="O2254" i="3"/>
  <c r="O2437" i="3"/>
  <c r="O4406" i="3"/>
  <c r="O5043" i="3"/>
  <c r="O4968" i="3"/>
  <c r="E5157" i="3"/>
  <c r="O5226" i="3"/>
  <c r="O4995" i="3"/>
  <c r="O5019" i="3"/>
  <c r="O5206" i="3"/>
  <c r="O4913" i="3"/>
  <c r="O5038" i="3"/>
  <c r="O2722" i="3"/>
  <c r="O2721" i="3" s="1"/>
  <c r="O3834" i="3"/>
  <c r="O4016" i="3"/>
  <c r="O4947" i="3"/>
  <c r="O5063" i="3"/>
  <c r="O5209" i="3"/>
  <c r="C925" i="3"/>
  <c r="E817" i="3"/>
  <c r="C1649" i="3"/>
  <c r="E1647" i="3"/>
  <c r="C306" i="3"/>
  <c r="E299" i="3"/>
  <c r="B29" i="3"/>
  <c r="E29" i="3" s="1"/>
  <c r="E27" i="3"/>
  <c r="D1386" i="3"/>
  <c r="E1384" i="3"/>
  <c r="O351" i="3"/>
  <c r="O280" i="3"/>
  <c r="E38" i="3"/>
  <c r="C41" i="3"/>
  <c r="C254" i="3"/>
  <c r="E245" i="3"/>
  <c r="E1179" i="3"/>
  <c r="C1182" i="3"/>
  <c r="C1618" i="3"/>
  <c r="E1616" i="3"/>
  <c r="C1811" i="3"/>
  <c r="E1808" i="3"/>
  <c r="O2048" i="3"/>
  <c r="O2950" i="3"/>
  <c r="C401" i="3"/>
  <c r="O2120" i="3"/>
  <c r="E3427" i="3"/>
  <c r="C3430" i="3"/>
  <c r="E293" i="3"/>
  <c r="O2013" i="3"/>
  <c r="C2077" i="3"/>
  <c r="E2048" i="3"/>
  <c r="O2083" i="3"/>
  <c r="E2742" i="3"/>
  <c r="C2745" i="3"/>
  <c r="O3414" i="3"/>
  <c r="O1380" i="3"/>
  <c r="E1645" i="3"/>
  <c r="O2166" i="3"/>
  <c r="C2499" i="3"/>
  <c r="E2497" i="3"/>
  <c r="E26" i="3"/>
  <c r="O1771" i="3"/>
  <c r="O1938" i="3"/>
  <c r="E2493" i="3"/>
  <c r="O2911" i="3"/>
  <c r="O3815" i="3"/>
  <c r="E3932" i="3"/>
  <c r="C3945" i="3"/>
  <c r="O1970" i="3"/>
  <c r="D2435" i="3"/>
  <c r="E2433" i="3"/>
  <c r="C1507" i="3"/>
  <c r="E2495" i="3"/>
  <c r="C1918" i="3"/>
  <c r="E1918" i="3" s="1"/>
  <c r="E1916" i="3"/>
  <c r="E1382" i="3"/>
  <c r="O2004" i="3"/>
  <c r="O2162" i="3"/>
  <c r="E2638" i="3"/>
  <c r="C2642" i="3"/>
  <c r="O2876" i="3"/>
  <c r="C1703" i="3"/>
  <c r="O2858" i="3"/>
  <c r="E1490" i="3"/>
  <c r="O1918" i="3"/>
  <c r="E2688" i="3"/>
  <c r="C2690" i="3"/>
  <c r="E3359" i="3"/>
  <c r="C3361" i="3"/>
  <c r="C1750" i="3"/>
  <c r="E1748" i="3"/>
  <c r="O2748" i="3"/>
  <c r="O2825" i="3"/>
  <c r="O2894" i="3"/>
  <c r="C3445" i="3"/>
  <c r="E3443" i="3"/>
  <c r="E1745" i="3"/>
  <c r="C2876" i="3"/>
  <c r="E2873" i="3"/>
  <c r="O3412" i="3"/>
  <c r="O3923" i="3"/>
  <c r="E3828" i="3"/>
  <c r="C3834" i="3"/>
  <c r="O3910" i="3"/>
  <c r="C2614" i="3"/>
  <c r="O2942" i="3"/>
  <c r="O3421" i="3"/>
  <c r="O3407" i="3"/>
  <c r="O3410" i="3"/>
  <c r="O3869" i="3"/>
  <c r="C2936" i="3"/>
  <c r="D3152" i="3"/>
  <c r="E3150" i="3"/>
  <c r="E3382" i="3"/>
  <c r="O3427" i="3"/>
  <c r="O2772" i="3"/>
  <c r="O3418" i="3"/>
  <c r="D4652" i="3"/>
  <c r="E4650" i="3"/>
  <c r="O2833" i="3"/>
  <c r="O3385" i="3"/>
  <c r="O2851" i="3"/>
  <c r="E3125" i="3"/>
  <c r="O3416" i="3"/>
  <c r="O2726" i="3"/>
  <c r="E3982" i="3"/>
  <c r="C4504" i="3"/>
  <c r="E4502" i="3"/>
  <c r="O2817" i="3"/>
  <c r="E3127" i="3"/>
  <c r="E3441" i="3"/>
  <c r="C3414" i="3"/>
  <c r="O3945" i="3"/>
  <c r="E4472" i="3"/>
  <c r="C4474" i="3"/>
  <c r="E3148" i="3"/>
  <c r="O3828" i="3"/>
  <c r="E3869" i="3"/>
  <c r="E4169" i="3"/>
  <c r="C4515" i="3"/>
  <c r="O3895" i="3"/>
  <c r="O4020" i="3"/>
  <c r="C4290" i="3"/>
  <c r="E4290" i="3" s="1"/>
  <c r="E4288" i="3"/>
  <c r="C4762" i="3"/>
  <c r="E4760" i="3"/>
  <c r="O3890" i="3"/>
  <c r="O3954" i="3"/>
  <c r="C3675" i="3"/>
  <c r="E3656" i="3"/>
  <c r="O4012" i="3"/>
  <c r="E4880" i="3"/>
  <c r="C4882" i="3"/>
  <c r="O3885" i="3"/>
  <c r="E4304" i="3"/>
  <c r="D4595" i="3"/>
  <c r="E4146" i="3"/>
  <c r="D4148" i="3"/>
  <c r="C4797" i="3"/>
  <c r="E4795" i="3"/>
  <c r="E3439" i="3"/>
  <c r="E3852" i="3"/>
  <c r="O3874" i="3"/>
  <c r="O3880" i="3"/>
  <c r="E4777" i="3"/>
  <c r="E4793" i="3"/>
  <c r="D4694" i="3"/>
  <c r="E4689" i="3"/>
  <c r="E4355" i="3"/>
  <c r="E4433" i="3"/>
  <c r="C5183" i="3"/>
  <c r="E5179" i="3"/>
  <c r="C5133" i="3"/>
  <c r="C5283" i="3"/>
  <c r="E5281" i="3"/>
  <c r="E5279" i="3"/>
  <c r="C5244" i="3"/>
  <c r="E5242" i="3"/>
  <c r="E5240" i="3"/>
  <c r="O5183" i="3"/>
  <c r="O5213" i="3"/>
  <c r="N2116" i="3" l="1"/>
  <c r="O2116" i="3" s="1"/>
  <c r="O2115" i="3" s="1"/>
  <c r="N2118" i="3"/>
  <c r="O2118" i="3" s="1"/>
  <c r="O2117" i="3" s="1"/>
  <c r="O1193" i="3"/>
  <c r="N1190" i="3"/>
  <c r="O1190" i="3" s="1"/>
  <c r="K1001" i="3"/>
  <c r="O1001" i="3" s="1"/>
  <c r="O935" i="3"/>
  <c r="O997" i="3"/>
  <c r="O128" i="3"/>
  <c r="O700" i="3"/>
  <c r="O245" i="3"/>
  <c r="D4740" i="3"/>
  <c r="D4742" i="3" s="1"/>
  <c r="C2833" i="3"/>
  <c r="C2841" i="3" s="1"/>
  <c r="O5229" i="3"/>
  <c r="N5233" i="3" s="1"/>
  <c r="O5233" i="3" s="1"/>
  <c r="E4781" i="3"/>
  <c r="C4232" i="3"/>
  <c r="E4232" i="3" s="1"/>
  <c r="E3131" i="3"/>
  <c r="E4783" i="3"/>
  <c r="D4347" i="3"/>
  <c r="E2516" i="3"/>
  <c r="C97" i="3"/>
  <c r="C101" i="3" s="1"/>
  <c r="C4033" i="3"/>
  <c r="E4033" i="3" s="1"/>
  <c r="E5163" i="3"/>
  <c r="E3088" i="3"/>
  <c r="E4736" i="3"/>
  <c r="E2512" i="3"/>
  <c r="E4194" i="3"/>
  <c r="E1465" i="3"/>
  <c r="O1196" i="3"/>
  <c r="O1194" i="3" s="1"/>
  <c r="E4029" i="3"/>
  <c r="C3181" i="3"/>
  <c r="C3183" i="3" s="1"/>
  <c r="E4247" i="3"/>
  <c r="N1183" i="3"/>
  <c r="O1183" i="3" s="1"/>
  <c r="E2474" i="3"/>
  <c r="E2173" i="3"/>
  <c r="E2472" i="3"/>
  <c r="E3086" i="3"/>
  <c r="D4666" i="3"/>
  <c r="D4668" i="3" s="1"/>
  <c r="E1954" i="3"/>
  <c r="E1624" i="3"/>
  <c r="C583" i="3"/>
  <c r="C605" i="3" s="1"/>
  <c r="N1186" i="3"/>
  <c r="O1186" i="3" s="1"/>
  <c r="N1176" i="3"/>
  <c r="O1176" i="3" s="1"/>
  <c r="E2514" i="3"/>
  <c r="E3133" i="3"/>
  <c r="E4217" i="3"/>
  <c r="E2470" i="3"/>
  <c r="E4662" i="3"/>
  <c r="E2175" i="3"/>
  <c r="C2179" i="3"/>
  <c r="C2181" i="3" s="1"/>
  <c r="E3335" i="3"/>
  <c r="C2763" i="3"/>
  <c r="O1189" i="3"/>
  <c r="C5167" i="3"/>
  <c r="E1206" i="3"/>
  <c r="C3793" i="3"/>
  <c r="C3798" i="3" s="1"/>
  <c r="E3523" i="3"/>
  <c r="E5161" i="3"/>
  <c r="E3515" i="3"/>
  <c r="E1844" i="3"/>
  <c r="E1463" i="3"/>
  <c r="D2394" i="3"/>
  <c r="C2977" i="3"/>
  <c r="E2975" i="3"/>
  <c r="C1496" i="3"/>
  <c r="E1494" i="3"/>
  <c r="E2781" i="3"/>
  <c r="C2804" i="3"/>
  <c r="C2153" i="3"/>
  <c r="E2153" i="3" s="1"/>
  <c r="E2151" i="3"/>
  <c r="E3890" i="3"/>
  <c r="E497" i="3"/>
  <c r="O1192" i="3"/>
  <c r="C4913" i="3"/>
  <c r="E4911" i="3"/>
  <c r="E4359" i="3"/>
  <c r="D4361" i="3"/>
  <c r="E1331" i="3"/>
  <c r="C3407" i="3"/>
  <c r="E3407" i="3" s="1"/>
  <c r="E3405" i="3"/>
  <c r="E5086" i="3"/>
  <c r="C5088" i="3"/>
  <c r="D3067" i="3"/>
  <c r="E3065" i="3"/>
  <c r="C3556" i="3"/>
  <c r="E3554" i="3"/>
  <c r="E2349" i="3"/>
  <c r="C5056" i="3"/>
  <c r="E5054" i="3"/>
  <c r="C1210" i="3"/>
  <c r="C1212" i="3" s="1"/>
  <c r="D2353" i="3"/>
  <c r="E2351" i="3"/>
  <c r="C3196" i="3"/>
  <c r="E3194" i="3"/>
  <c r="C2563" i="3"/>
  <c r="E2745" i="3"/>
  <c r="C2748" i="3"/>
  <c r="D4171" i="3"/>
  <c r="C1970" i="3"/>
  <c r="C3954" i="3"/>
  <c r="E3954" i="3" s="1"/>
  <c r="E3945" i="3"/>
  <c r="D3137" i="3"/>
  <c r="E3135" i="3"/>
  <c r="D2437" i="3"/>
  <c r="E2435" i="3"/>
  <c r="C1816" i="3"/>
  <c r="E1811" i="3"/>
  <c r="E3361" i="3"/>
  <c r="D4198" i="3"/>
  <c r="E4196" i="3"/>
  <c r="C404" i="3"/>
  <c r="E404" i="3" s="1"/>
  <c r="E401" i="3"/>
  <c r="D4696" i="3"/>
  <c r="E4694" i="3"/>
  <c r="C2693" i="3"/>
  <c r="E2690" i="3"/>
  <c r="C2162" i="3"/>
  <c r="C1185" i="3"/>
  <c r="E1182" i="3"/>
  <c r="C2520" i="3"/>
  <c r="E2518" i="3"/>
  <c r="E306" i="3"/>
  <c r="C308" i="3"/>
  <c r="C5149" i="3"/>
  <c r="E5133" i="3"/>
  <c r="O3991" i="3"/>
  <c r="O3998" i="3"/>
  <c r="O4005" i="3"/>
  <c r="C5189" i="3"/>
  <c r="E5183" i="3"/>
  <c r="E4504" i="3"/>
  <c r="C4506" i="3"/>
  <c r="E2876" i="3"/>
  <c r="C2891" i="3"/>
  <c r="C1509" i="3"/>
  <c r="E1507" i="3"/>
  <c r="E4595" i="3"/>
  <c r="D4597" i="3"/>
  <c r="C4251" i="3"/>
  <c r="E4249" i="3"/>
  <c r="C5246" i="3"/>
  <c r="E5244" i="3"/>
  <c r="C4764" i="3"/>
  <c r="E4762" i="3"/>
  <c r="E2936" i="3"/>
  <c r="C2939" i="3"/>
  <c r="E2077" i="3"/>
  <c r="C2083" i="3"/>
  <c r="E4797" i="3"/>
  <c r="C4799" i="3"/>
  <c r="C2926" i="3"/>
  <c r="C1651" i="3"/>
  <c r="E1649" i="3"/>
  <c r="O2936" i="3"/>
  <c r="O2933" i="3"/>
  <c r="O2939" i="3"/>
  <c r="E4882" i="3"/>
  <c r="C4884" i="3"/>
  <c r="C2616" i="3"/>
  <c r="E2614" i="3"/>
  <c r="C1752" i="3"/>
  <c r="E1750" i="3"/>
  <c r="E2499" i="3"/>
  <c r="C2501" i="3"/>
  <c r="C4484" i="3"/>
  <c r="E4474" i="3"/>
  <c r="D3154" i="3"/>
  <c r="E3152" i="3"/>
  <c r="E3414" i="3"/>
  <c r="D4654" i="3"/>
  <c r="E4652" i="3"/>
  <c r="C2646" i="3"/>
  <c r="E2642" i="3"/>
  <c r="D1388" i="3"/>
  <c r="E1386" i="3"/>
  <c r="E4148" i="3"/>
  <c r="E254" i="3"/>
  <c r="C3837" i="3"/>
  <c r="E3834" i="3"/>
  <c r="D1292" i="3"/>
  <c r="C1628" i="3"/>
  <c r="E1626" i="3"/>
  <c r="C50" i="3"/>
  <c r="E41" i="3"/>
  <c r="C1710" i="3"/>
  <c r="E1703" i="3"/>
  <c r="C1620" i="3"/>
  <c r="E1620" i="3" s="1"/>
  <c r="E1618" i="3"/>
  <c r="E1467" i="3"/>
  <c r="D1469" i="3"/>
  <c r="E925" i="3"/>
  <c r="C935" i="3"/>
  <c r="C3693" i="3"/>
  <c r="E3675" i="3"/>
  <c r="C4517" i="3"/>
  <c r="E4515" i="3"/>
  <c r="E3445" i="3"/>
  <c r="C3447" i="3"/>
  <c r="E3430" i="3"/>
  <c r="C5285" i="3"/>
  <c r="E5283" i="3"/>
  <c r="C1848" i="3"/>
  <c r="E1846" i="3"/>
  <c r="O1191" i="3" l="1"/>
  <c r="O979" i="3"/>
  <c r="N1184" i="3" s="1"/>
  <c r="O1184" i="3" s="1"/>
  <c r="O1182" i="3" s="1"/>
  <c r="N1172" i="3"/>
  <c r="N1177" i="3"/>
  <c r="O1177" i="3" s="1"/>
  <c r="N1181" i="3"/>
  <c r="C1152" i="3"/>
  <c r="O817" i="3"/>
  <c r="E605" i="3"/>
  <c r="C620" i="3"/>
  <c r="E620" i="3" s="1"/>
  <c r="C4234" i="3"/>
  <c r="E4234" i="3" s="1"/>
  <c r="E2833" i="3"/>
  <c r="C4035" i="3"/>
  <c r="C4037" i="3" s="1"/>
  <c r="C4039" i="3" s="1"/>
  <c r="E4740" i="3"/>
  <c r="E2179" i="3"/>
  <c r="E97" i="3"/>
  <c r="E3181" i="3"/>
  <c r="C4012" i="3"/>
  <c r="E1210" i="3"/>
  <c r="E5167" i="3"/>
  <c r="O1188" i="3"/>
  <c r="E583" i="3"/>
  <c r="C3338" i="3"/>
  <c r="C3340" i="3" s="1"/>
  <c r="E4666" i="3"/>
  <c r="E2394" i="3"/>
  <c r="C2765" i="3"/>
  <c r="E2763" i="3"/>
  <c r="E3793" i="3"/>
  <c r="E2353" i="3"/>
  <c r="D2355" i="3"/>
  <c r="C3895" i="3"/>
  <c r="C5059" i="3"/>
  <c r="E5056" i="3"/>
  <c r="E2804" i="3"/>
  <c r="C2806" i="3"/>
  <c r="E2806" i="3" s="1"/>
  <c r="D4363" i="3"/>
  <c r="E4363" i="3" s="1"/>
  <c r="E4361" i="3"/>
  <c r="C3558" i="3"/>
  <c r="E3556" i="3"/>
  <c r="E1496" i="3"/>
  <c r="C1498" i="3"/>
  <c r="C2565" i="3"/>
  <c r="E2563" i="3"/>
  <c r="C4917" i="3"/>
  <c r="E4913" i="3"/>
  <c r="C2979" i="3"/>
  <c r="E2977" i="3"/>
  <c r="E3067" i="3"/>
  <c r="E3196" i="3"/>
  <c r="C3198" i="3"/>
  <c r="E5088" i="3"/>
  <c r="C5090" i="3"/>
  <c r="C1188" i="3"/>
  <c r="E1185" i="3"/>
  <c r="D4698" i="3"/>
  <c r="E4696" i="3"/>
  <c r="E3137" i="3"/>
  <c r="D3139" i="3"/>
  <c r="C3839" i="3"/>
  <c r="E3839" i="3" s="1"/>
  <c r="E3837" i="3"/>
  <c r="E4198" i="3"/>
  <c r="D4200" i="3"/>
  <c r="E3693" i="3"/>
  <c r="C3705" i="3"/>
  <c r="D4173" i="3"/>
  <c r="E4171" i="3"/>
  <c r="C4519" i="3"/>
  <c r="E4517" i="3"/>
  <c r="E2693" i="3"/>
  <c r="C2696" i="3"/>
  <c r="E50" i="3"/>
  <c r="C59" i="3"/>
  <c r="E4597" i="3"/>
  <c r="D4599" i="3"/>
  <c r="D2396" i="3"/>
  <c r="E4484" i="3"/>
  <c r="C4486" i="3"/>
  <c r="E4486" i="3" s="1"/>
  <c r="E1752" i="3"/>
  <c r="C1755" i="3"/>
  <c r="C1511" i="3"/>
  <c r="E1509" i="3"/>
  <c r="C104" i="3"/>
  <c r="E101" i="3"/>
  <c r="E3183" i="3"/>
  <c r="C3185" i="3"/>
  <c r="D4349" i="3"/>
  <c r="E4349" i="3" s="1"/>
  <c r="E4347" i="3"/>
  <c r="C3984" i="3"/>
  <c r="E2891" i="3"/>
  <c r="C2894" i="3"/>
  <c r="C5151" i="3"/>
  <c r="E5151" i="3" s="1"/>
  <c r="E5149" i="3"/>
  <c r="N5235" i="3"/>
  <c r="O5235" i="3" s="1"/>
  <c r="O5234" i="3" s="1"/>
  <c r="O5232" i="3"/>
  <c r="C3364" i="3"/>
  <c r="D4306" i="3"/>
  <c r="D4670" i="3"/>
  <c r="E4668" i="3"/>
  <c r="C2183" i="3"/>
  <c r="E2181" i="3"/>
  <c r="E2646" i="3"/>
  <c r="C2663" i="3"/>
  <c r="E2926" i="3"/>
  <c r="C2928" i="3"/>
  <c r="D1335" i="3"/>
  <c r="C2503" i="3"/>
  <c r="E2501" i="3"/>
  <c r="E4799" i="3"/>
  <c r="C4801" i="3"/>
  <c r="E2616" i="3"/>
  <c r="C2618" i="3"/>
  <c r="E4764" i="3"/>
  <c r="C4766" i="3"/>
  <c r="E1388" i="3"/>
  <c r="D1390" i="3"/>
  <c r="E1651" i="3"/>
  <c r="C1653" i="3"/>
  <c r="E2748" i="3"/>
  <c r="C2753" i="3"/>
  <c r="D3156" i="3"/>
  <c r="E3154" i="3"/>
  <c r="E1848" i="3"/>
  <c r="C1850" i="3"/>
  <c r="E1850" i="3" s="1"/>
  <c r="E1628" i="3"/>
  <c r="C1630" i="3"/>
  <c r="E5285" i="3"/>
  <c r="C5287" i="3"/>
  <c r="E935" i="3"/>
  <c r="C264" i="3"/>
  <c r="E3798" i="3"/>
  <c r="E4506" i="3"/>
  <c r="E4742" i="3"/>
  <c r="E4654" i="3"/>
  <c r="D4656" i="3"/>
  <c r="E4884" i="3"/>
  <c r="C4886" i="3"/>
  <c r="E4886" i="3" s="1"/>
  <c r="C3311" i="3"/>
  <c r="C1986" i="3"/>
  <c r="E1970" i="3"/>
  <c r="C314" i="3"/>
  <c r="E308" i="3"/>
  <c r="D2439" i="3"/>
  <c r="E2437" i="3"/>
  <c r="C3449" i="3"/>
  <c r="E3447" i="3"/>
  <c r="D1471" i="3"/>
  <c r="E1469" i="3"/>
  <c r="C5248" i="3"/>
  <c r="E5246" i="3"/>
  <c r="C2164" i="3"/>
  <c r="E2162" i="3"/>
  <c r="C2522" i="3"/>
  <c r="E2520" i="3"/>
  <c r="E1710" i="3"/>
  <c r="C1716" i="3"/>
  <c r="E2939" i="3"/>
  <c r="C5193" i="3"/>
  <c r="E5189" i="3"/>
  <c r="C1827" i="3"/>
  <c r="E1816" i="3"/>
  <c r="E1292" i="3"/>
  <c r="D1294" i="3"/>
  <c r="C3416" i="3"/>
  <c r="E1212" i="3"/>
  <c r="C1214" i="3"/>
  <c r="D3090" i="3"/>
  <c r="C2112" i="3"/>
  <c r="E2083" i="3"/>
  <c r="C2843" i="3"/>
  <c r="E2841" i="3"/>
  <c r="E4251" i="3"/>
  <c r="C4253" i="3"/>
  <c r="N1173" i="3" l="1"/>
  <c r="O1173" i="3" s="1"/>
  <c r="N1187" i="3"/>
  <c r="O1187" i="3" s="1"/>
  <c r="O1185" i="3" s="1"/>
  <c r="N1178" i="3"/>
  <c r="O1178" i="3" s="1"/>
  <c r="O1172" i="3"/>
  <c r="O1181" i="3"/>
  <c r="N1175" i="3"/>
  <c r="O1175" i="3" s="1"/>
  <c r="N1170" i="3"/>
  <c r="O1170" i="3" s="1"/>
  <c r="E1152" i="3"/>
  <c r="C1160" i="3"/>
  <c r="E1160" i="3" s="1"/>
  <c r="N1180" i="3"/>
  <c r="O1180" i="3" s="1"/>
  <c r="E4035" i="3"/>
  <c r="E4037" i="3"/>
  <c r="E3338" i="3"/>
  <c r="C2767" i="3"/>
  <c r="E2765" i="3"/>
  <c r="E2979" i="3"/>
  <c r="C2981" i="3"/>
  <c r="C3900" i="3"/>
  <c r="E3895" i="3"/>
  <c r="C3560" i="3"/>
  <c r="E3558" i="3"/>
  <c r="C5092" i="3"/>
  <c r="E5090" i="3"/>
  <c r="C3200" i="3"/>
  <c r="E3198" i="3"/>
  <c r="E2355" i="3"/>
  <c r="E5059" i="3"/>
  <c r="C5061" i="3"/>
  <c r="C4921" i="3"/>
  <c r="E4917" i="3"/>
  <c r="E2565" i="3"/>
  <c r="E1498" i="3"/>
  <c r="C1500" i="3"/>
  <c r="E1500" i="3" s="1"/>
  <c r="C2185" i="3"/>
  <c r="E2183" i="3"/>
  <c r="C1513" i="3"/>
  <c r="E1511" i="3"/>
  <c r="D3092" i="3"/>
  <c r="E3090" i="3"/>
  <c r="E2164" i="3"/>
  <c r="C2166" i="3"/>
  <c r="C1830" i="3"/>
  <c r="E1827" i="3"/>
  <c r="C5250" i="3"/>
  <c r="E5248" i="3"/>
  <c r="D1337" i="3"/>
  <c r="E1335" i="3"/>
  <c r="E3705" i="3"/>
  <c r="C3724" i="3"/>
  <c r="D4202" i="3"/>
  <c r="E4200" i="3"/>
  <c r="E4306" i="3"/>
  <c r="D4308" i="3"/>
  <c r="D3141" i="3"/>
  <c r="E3139" i="3"/>
  <c r="E3984" i="3"/>
  <c r="C5195" i="3"/>
  <c r="E5193" i="3"/>
  <c r="D1473" i="3"/>
  <c r="E1471" i="3"/>
  <c r="C5289" i="3"/>
  <c r="E5287" i="3"/>
  <c r="E2928" i="3"/>
  <c r="E4519" i="3"/>
  <c r="C4521" i="3"/>
  <c r="D1296" i="3"/>
  <c r="E1294" i="3"/>
  <c r="E3340" i="3"/>
  <c r="C1758" i="3"/>
  <c r="E1755" i="3"/>
  <c r="D3158" i="3"/>
  <c r="E3156" i="3"/>
  <c r="E3449" i="3"/>
  <c r="C3451" i="3"/>
  <c r="C1632" i="3"/>
  <c r="E1630" i="3"/>
  <c r="E1653" i="3"/>
  <c r="C1655" i="3"/>
  <c r="C4768" i="3"/>
  <c r="E4766" i="3"/>
  <c r="C3365" i="3"/>
  <c r="E3364" i="3"/>
  <c r="D4175" i="3"/>
  <c r="E4173" i="3"/>
  <c r="D4700" i="3"/>
  <c r="E4698" i="3"/>
  <c r="C4255" i="3"/>
  <c r="E4253" i="3"/>
  <c r="C1216" i="3"/>
  <c r="E1214" i="3"/>
  <c r="E2696" i="3"/>
  <c r="C2699" i="3"/>
  <c r="C633" i="3"/>
  <c r="E1986" i="3"/>
  <c r="C2002" i="3"/>
  <c r="D1392" i="3"/>
  <c r="E1390" i="3"/>
  <c r="E2618" i="3"/>
  <c r="C2620" i="3"/>
  <c r="E2396" i="3"/>
  <c r="C4041" i="3"/>
  <c r="E4039" i="3"/>
  <c r="E1188" i="3"/>
  <c r="C1191" i="3"/>
  <c r="C4803" i="3"/>
  <c r="E4801" i="3"/>
  <c r="C2505" i="3"/>
  <c r="E2503" i="3"/>
  <c r="D4658" i="3"/>
  <c r="E4658" i="3" s="1"/>
  <c r="E4656" i="3"/>
  <c r="C1722" i="3"/>
  <c r="E1716" i="3"/>
  <c r="E3185" i="3"/>
  <c r="D4601" i="3"/>
  <c r="E4599" i="3"/>
  <c r="C2755" i="3"/>
  <c r="E2753" i="3"/>
  <c r="E2843" i="3"/>
  <c r="C2846" i="3"/>
  <c r="D2441" i="3"/>
  <c r="E2439" i="3"/>
  <c r="C4016" i="3"/>
  <c r="E4012" i="3"/>
  <c r="C2665" i="3"/>
  <c r="E2663" i="3"/>
  <c r="E3311" i="3"/>
  <c r="D4672" i="3"/>
  <c r="E4670" i="3"/>
  <c r="C72" i="3"/>
  <c r="E59" i="3"/>
  <c r="D4150" i="3"/>
  <c r="E2522" i="3"/>
  <c r="C2524" i="3"/>
  <c r="E2894" i="3"/>
  <c r="C2901" i="3"/>
  <c r="E2901" i="3" s="1"/>
  <c r="C276" i="3"/>
  <c r="E264" i="3"/>
  <c r="E2112" i="3"/>
  <c r="C2115" i="3"/>
  <c r="E3416" i="3"/>
  <c r="C320" i="3"/>
  <c r="E320" i="3" s="1"/>
  <c r="E314" i="3"/>
  <c r="E104" i="3"/>
  <c r="C107" i="3"/>
  <c r="O1174" i="3" l="1"/>
  <c r="O1169" i="3"/>
  <c r="O1179" i="3"/>
  <c r="C2769" i="3"/>
  <c r="E2767" i="3"/>
  <c r="C5094" i="3"/>
  <c r="E5092" i="3"/>
  <c r="C2567" i="3"/>
  <c r="E3560" i="3"/>
  <c r="C3562" i="3"/>
  <c r="E3200" i="3"/>
  <c r="C3203" i="3"/>
  <c r="C4924" i="3"/>
  <c r="E4921" i="3"/>
  <c r="E3900" i="3"/>
  <c r="C5063" i="3"/>
  <c r="E5061" i="3"/>
  <c r="E2981" i="3"/>
  <c r="C2983" i="3"/>
  <c r="E4803" i="3"/>
  <c r="C4805" i="3"/>
  <c r="E2166" i="3"/>
  <c r="C4043" i="3"/>
  <c r="E4041" i="3"/>
  <c r="D4177" i="3"/>
  <c r="E4175" i="3"/>
  <c r="D3160" i="3"/>
  <c r="E3158" i="3"/>
  <c r="E1830" i="3"/>
  <c r="E276" i="3"/>
  <c r="C280" i="3"/>
  <c r="E280" i="3" s="1"/>
  <c r="E633" i="3"/>
  <c r="C673" i="3"/>
  <c r="C2930" i="3"/>
  <c r="D3143" i="3"/>
  <c r="E3141" i="3"/>
  <c r="C2701" i="3"/>
  <c r="E2699" i="3"/>
  <c r="D4310" i="3"/>
  <c r="E4308" i="3"/>
  <c r="D2443" i="3"/>
  <c r="E2441" i="3"/>
  <c r="E2620" i="3"/>
  <c r="C2622" i="3"/>
  <c r="D4674" i="3"/>
  <c r="E4672" i="3"/>
  <c r="E2846" i="3"/>
  <c r="C2526" i="3"/>
  <c r="E2524" i="3"/>
  <c r="E3365" i="3"/>
  <c r="D3094" i="3"/>
  <c r="E3092" i="3"/>
  <c r="C5291" i="3"/>
  <c r="E5289" i="3"/>
  <c r="E2755" i="3"/>
  <c r="E1392" i="3"/>
  <c r="D1394" i="3"/>
  <c r="D4204" i="3"/>
  <c r="E4202" i="3"/>
  <c r="E2665" i="3"/>
  <c r="C1218" i="3"/>
  <c r="E1216" i="3"/>
  <c r="C1657" i="3"/>
  <c r="E1655" i="3"/>
  <c r="C2942" i="3"/>
  <c r="E3724" i="3"/>
  <c r="C3740" i="3"/>
  <c r="C3418" i="3"/>
  <c r="E1513" i="3"/>
  <c r="C1515" i="3"/>
  <c r="C2117" i="3"/>
  <c r="E2117" i="3" s="1"/>
  <c r="E2115" i="3"/>
  <c r="C109" i="3"/>
  <c r="E107" i="3"/>
  <c r="E1722" i="3"/>
  <c r="C1728" i="3"/>
  <c r="C2004" i="3"/>
  <c r="E2002" i="3"/>
  <c r="E4255" i="3"/>
  <c r="C4257" i="3"/>
  <c r="E1758" i="3"/>
  <c r="D4152" i="3"/>
  <c r="E4150" i="3"/>
  <c r="C4770" i="3"/>
  <c r="E4768" i="3"/>
  <c r="E2505" i="3"/>
  <c r="C1634" i="3"/>
  <c r="E1632" i="3"/>
  <c r="E1337" i="3"/>
  <c r="D1339" i="3"/>
  <c r="C2187" i="3"/>
  <c r="E2185" i="3"/>
  <c r="E72" i="3"/>
  <c r="C75" i="3"/>
  <c r="E1473" i="3"/>
  <c r="D3529" i="3"/>
  <c r="C1194" i="3"/>
  <c r="E1191" i="3"/>
  <c r="C3453" i="3"/>
  <c r="E3451" i="3"/>
  <c r="E1296" i="3"/>
  <c r="E5195" i="3"/>
  <c r="C5198" i="3"/>
  <c r="C4020" i="3"/>
  <c r="E4020" i="3" s="1"/>
  <c r="E4016" i="3"/>
  <c r="E4601" i="3"/>
  <c r="D4603" i="3"/>
  <c r="D4702" i="3"/>
  <c r="E4700" i="3"/>
  <c r="C4523" i="3"/>
  <c r="E4521" i="3"/>
  <c r="C5252" i="3"/>
  <c r="E5250" i="3"/>
  <c r="E2769" i="3" l="1"/>
  <c r="C4926" i="3"/>
  <c r="E4924" i="3"/>
  <c r="E2567" i="3"/>
  <c r="E2983" i="3"/>
  <c r="C2985" i="3"/>
  <c r="E3562" i="3"/>
  <c r="C3564" i="3"/>
  <c r="E5094" i="3"/>
  <c r="C5096" i="3"/>
  <c r="C3903" i="3"/>
  <c r="C3205" i="3"/>
  <c r="E3203" i="3"/>
  <c r="E5063" i="3"/>
  <c r="C5069" i="3"/>
  <c r="D4154" i="3"/>
  <c r="E4152" i="3"/>
  <c r="C2851" i="3"/>
  <c r="C1197" i="3"/>
  <c r="E1194" i="3"/>
  <c r="E4702" i="3"/>
  <c r="D4704" i="3"/>
  <c r="E1218" i="3"/>
  <c r="C1220" i="3"/>
  <c r="E2701" i="3"/>
  <c r="C2703" i="3"/>
  <c r="E3160" i="3"/>
  <c r="E2443" i="3"/>
  <c r="D2447" i="3"/>
  <c r="C1659" i="3"/>
  <c r="E1657" i="3"/>
  <c r="C5293" i="3"/>
  <c r="E5291" i="3"/>
  <c r="E4674" i="3"/>
  <c r="D4676" i="3"/>
  <c r="E4603" i="3"/>
  <c r="D4605" i="3"/>
  <c r="D1341" i="3"/>
  <c r="E1339" i="3"/>
  <c r="E1515" i="3"/>
  <c r="C1517" i="3"/>
  <c r="E2187" i="3"/>
  <c r="C2189" i="3"/>
  <c r="E1634" i="3"/>
  <c r="C1636" i="3"/>
  <c r="D3096" i="3"/>
  <c r="E3094" i="3"/>
  <c r="E4257" i="3"/>
  <c r="C4259" i="3"/>
  <c r="C2624" i="3"/>
  <c r="E2622" i="3"/>
  <c r="E4177" i="3"/>
  <c r="D2476" i="3"/>
  <c r="E2930" i="3"/>
  <c r="C4046" i="3"/>
  <c r="E4043" i="3"/>
  <c r="E4310" i="3"/>
  <c r="D4312" i="3"/>
  <c r="E4312" i="3" s="1"/>
  <c r="C3367" i="3"/>
  <c r="C5254" i="3"/>
  <c r="E5252" i="3"/>
  <c r="E2004" i="3"/>
  <c r="E3418" i="3"/>
  <c r="E4204" i="3"/>
  <c r="D4206" i="3"/>
  <c r="C111" i="3"/>
  <c r="E109" i="3"/>
  <c r="C2676" i="3"/>
  <c r="E3143" i="3"/>
  <c r="C5201" i="3"/>
  <c r="E5198" i="3"/>
  <c r="D3531" i="3"/>
  <c r="E3529" i="3"/>
  <c r="E1728" i="3"/>
  <c r="C1730" i="3"/>
  <c r="E3740" i="3"/>
  <c r="E673" i="3"/>
  <c r="C690" i="3"/>
  <c r="D1396" i="3"/>
  <c r="E1394" i="3"/>
  <c r="E4805" i="3"/>
  <c r="C4807" i="3"/>
  <c r="C4525" i="3"/>
  <c r="E4523" i="3"/>
  <c r="C3455" i="3"/>
  <c r="E3453" i="3"/>
  <c r="C3342" i="3"/>
  <c r="C4772" i="3"/>
  <c r="E4772" i="3" s="1"/>
  <c r="E4770" i="3"/>
  <c r="C2528" i="3"/>
  <c r="E2526" i="3"/>
  <c r="D2398" i="3"/>
  <c r="C77" i="3"/>
  <c r="E75" i="3"/>
  <c r="C2950" i="3"/>
  <c r="E2942" i="3"/>
  <c r="C4928" i="3" l="1"/>
  <c r="E4926" i="3"/>
  <c r="C3907" i="3"/>
  <c r="E3907" i="3" s="1"/>
  <c r="E3903" i="3"/>
  <c r="C5098" i="3"/>
  <c r="E5096" i="3"/>
  <c r="C2987" i="3"/>
  <c r="E2985" i="3"/>
  <c r="C5072" i="3"/>
  <c r="E5069" i="3"/>
  <c r="C3207" i="3"/>
  <c r="E3205" i="3"/>
  <c r="C3566" i="3"/>
  <c r="E3564" i="3"/>
  <c r="D2357" i="3"/>
  <c r="D4156" i="3"/>
  <c r="E4154" i="3"/>
  <c r="C1519" i="3"/>
  <c r="E1517" i="3"/>
  <c r="C79" i="3"/>
  <c r="E77" i="3"/>
  <c r="C4809" i="3"/>
  <c r="E4807" i="3"/>
  <c r="D2449" i="3"/>
  <c r="E2447" i="3"/>
  <c r="D4678" i="3"/>
  <c r="E4676" i="3"/>
  <c r="E1659" i="3"/>
  <c r="C1661" i="3"/>
  <c r="D3098" i="3"/>
  <c r="E3096" i="3"/>
  <c r="D2400" i="3"/>
  <c r="E2398" i="3"/>
  <c r="E1636" i="3"/>
  <c r="C1638" i="3"/>
  <c r="E1341" i="3"/>
  <c r="D1343" i="3"/>
  <c r="E2676" i="3"/>
  <c r="C113" i="3"/>
  <c r="E111" i="3"/>
  <c r="D4607" i="3"/>
  <c r="E4605" i="3"/>
  <c r="E1197" i="3"/>
  <c r="C2191" i="3"/>
  <c r="E2189" i="3"/>
  <c r="E2528" i="3"/>
  <c r="C2530" i="3"/>
  <c r="C5256" i="3"/>
  <c r="E5254" i="3"/>
  <c r="E2624" i="3"/>
  <c r="C2626" i="3"/>
  <c r="C2705" i="3"/>
  <c r="E2703" i="3"/>
  <c r="E4525" i="3"/>
  <c r="C4527" i="3"/>
  <c r="E1730" i="3"/>
  <c r="E3367" i="3"/>
  <c r="C2853" i="3"/>
  <c r="E2851" i="3"/>
  <c r="D3533" i="3"/>
  <c r="E3531" i="3"/>
  <c r="C693" i="3"/>
  <c r="E693" i="3" s="1"/>
  <c r="E690" i="3"/>
  <c r="C2008" i="3"/>
  <c r="E1396" i="3"/>
  <c r="D1398" i="3"/>
  <c r="E4046" i="3"/>
  <c r="C4048" i="3"/>
  <c r="C1222" i="3"/>
  <c r="E1220" i="3"/>
  <c r="E3342" i="3"/>
  <c r="D2478" i="3"/>
  <c r="E2476" i="3"/>
  <c r="C2958" i="3"/>
  <c r="E2950" i="3"/>
  <c r="C5206" i="3"/>
  <c r="E5201" i="3"/>
  <c r="D4208" i="3"/>
  <c r="E4206" i="3"/>
  <c r="E4259" i="3"/>
  <c r="C4261" i="3"/>
  <c r="E5293" i="3"/>
  <c r="C5295" i="3"/>
  <c r="C3457" i="3"/>
  <c r="E3455" i="3"/>
  <c r="D4707" i="3"/>
  <c r="E4704" i="3"/>
  <c r="C4930" i="3" l="1"/>
  <c r="E4928" i="3"/>
  <c r="C3568" i="3"/>
  <c r="E3566" i="3"/>
  <c r="C2569" i="3"/>
  <c r="E3207" i="3"/>
  <c r="C3209" i="3"/>
  <c r="E5072" i="3"/>
  <c r="C5075" i="3"/>
  <c r="E2987" i="3"/>
  <c r="C2989" i="3"/>
  <c r="D2359" i="3"/>
  <c r="E2357" i="3"/>
  <c r="D3069" i="3"/>
  <c r="C5100" i="3"/>
  <c r="E5098" i="3"/>
  <c r="D2451" i="3"/>
  <c r="E2449" i="3"/>
  <c r="C2532" i="3"/>
  <c r="E2530" i="3"/>
  <c r="C1640" i="3"/>
  <c r="E1638" i="3"/>
  <c r="D2480" i="3"/>
  <c r="E2478" i="3"/>
  <c r="C4263" i="3"/>
  <c r="E4261" i="3"/>
  <c r="E2008" i="3"/>
  <c r="C2010" i="3"/>
  <c r="E2010" i="3" s="1"/>
  <c r="E113" i="3"/>
  <c r="D1400" i="3"/>
  <c r="E1398" i="3"/>
  <c r="E4707" i="3"/>
  <c r="D4709" i="3"/>
  <c r="D4210" i="3"/>
  <c r="E4210" i="3" s="1"/>
  <c r="E4208" i="3"/>
  <c r="C3459" i="3"/>
  <c r="E3457" i="3"/>
  <c r="E2958" i="3"/>
  <c r="C2966" i="3"/>
  <c r="C1761" i="3"/>
  <c r="D2402" i="3"/>
  <c r="E2400" i="3"/>
  <c r="E4809" i="3"/>
  <c r="C4811" i="3"/>
  <c r="D1345" i="3"/>
  <c r="E1343" i="3"/>
  <c r="E1222" i="3"/>
  <c r="C1224" i="3"/>
  <c r="C5209" i="3"/>
  <c r="E5206" i="3"/>
  <c r="D4179" i="3"/>
  <c r="C4529" i="3"/>
  <c r="E4527" i="3"/>
  <c r="C2678" i="3"/>
  <c r="D1475" i="3"/>
  <c r="E3533" i="3"/>
  <c r="D3535" i="3"/>
  <c r="C3313" i="3"/>
  <c r="E79" i="3"/>
  <c r="C81" i="3"/>
  <c r="C5258" i="3"/>
  <c r="E5256" i="3"/>
  <c r="C1732" i="3"/>
  <c r="C2193" i="3"/>
  <c r="E2191" i="3"/>
  <c r="E2853" i="3"/>
  <c r="E2705" i="3"/>
  <c r="C2707" i="3"/>
  <c r="D3100" i="3"/>
  <c r="E3098" i="3"/>
  <c r="E1519" i="3"/>
  <c r="C1521" i="3"/>
  <c r="C5297" i="3"/>
  <c r="E5295" i="3"/>
  <c r="E4048" i="3"/>
  <c r="C4050" i="3"/>
  <c r="C1663" i="3"/>
  <c r="E1661" i="3"/>
  <c r="C3370" i="3"/>
  <c r="E2626" i="3"/>
  <c r="C2628" i="3"/>
  <c r="E4607" i="3"/>
  <c r="D4609" i="3"/>
  <c r="D4680" i="3"/>
  <c r="E4678" i="3"/>
  <c r="E4156" i="3"/>
  <c r="E3069" i="3" l="1"/>
  <c r="C4933" i="3"/>
  <c r="E4930" i="3"/>
  <c r="E2359" i="3"/>
  <c r="E2989" i="3"/>
  <c r="C2991" i="3"/>
  <c r="C5079" i="3"/>
  <c r="E5079" i="3" s="1"/>
  <c r="E5075" i="3"/>
  <c r="C3211" i="3"/>
  <c r="E3209" i="3"/>
  <c r="C2571" i="3"/>
  <c r="E2569" i="3"/>
  <c r="E5100" i="3"/>
  <c r="C5102" i="3"/>
  <c r="C3570" i="3"/>
  <c r="E3568" i="3"/>
  <c r="E4680" i="3"/>
  <c r="D4682" i="3"/>
  <c r="C2195" i="3"/>
  <c r="E2193" i="3"/>
  <c r="C5260" i="3"/>
  <c r="E5258" i="3"/>
  <c r="D1477" i="3"/>
  <c r="E1475" i="3"/>
  <c r="E4263" i="3"/>
  <c r="C4265" i="3"/>
  <c r="E2628" i="3"/>
  <c r="C2630" i="3"/>
  <c r="C2709" i="3"/>
  <c r="E2707" i="3"/>
  <c r="C83" i="3"/>
  <c r="E81" i="3"/>
  <c r="E2678" i="3"/>
  <c r="C2680" i="3"/>
  <c r="E4709" i="3"/>
  <c r="D4711" i="3"/>
  <c r="C5299" i="3"/>
  <c r="E5297" i="3"/>
  <c r="E4811" i="3"/>
  <c r="C4813" i="3"/>
  <c r="D2404" i="3"/>
  <c r="E2402" i="3"/>
  <c r="D2482" i="3"/>
  <c r="E2480" i="3"/>
  <c r="C3372" i="3"/>
  <c r="E3370" i="3"/>
  <c r="E4179" i="3"/>
  <c r="D4181" i="3"/>
  <c r="E1640" i="3"/>
  <c r="D4611" i="3"/>
  <c r="E4609" i="3"/>
  <c r="C1665" i="3"/>
  <c r="E1663" i="3"/>
  <c r="E1400" i="3"/>
  <c r="D1406" i="3"/>
  <c r="C4531" i="3"/>
  <c r="E4529" i="3"/>
  <c r="D4158" i="3"/>
  <c r="C4052" i="3"/>
  <c r="E4050" i="3"/>
  <c r="E3535" i="3"/>
  <c r="C3344" i="3"/>
  <c r="C5213" i="3"/>
  <c r="E5209" i="3"/>
  <c r="E1761" i="3"/>
  <c r="C1763" i="3"/>
  <c r="E2532" i="3"/>
  <c r="C2534" i="3"/>
  <c r="E1521" i="3"/>
  <c r="C1523" i="3"/>
  <c r="C3315" i="3"/>
  <c r="E3313" i="3"/>
  <c r="C1226" i="3"/>
  <c r="E1224" i="3"/>
  <c r="E2966" i="3"/>
  <c r="C1734" i="3"/>
  <c r="E1732" i="3"/>
  <c r="E1345" i="3"/>
  <c r="D1347" i="3"/>
  <c r="C3461" i="3"/>
  <c r="E3459" i="3"/>
  <c r="D2453" i="3"/>
  <c r="E2451" i="3"/>
  <c r="D3102" i="3"/>
  <c r="E3100" i="3"/>
  <c r="C3214" i="3" l="1"/>
  <c r="E3211" i="3"/>
  <c r="E2991" i="3"/>
  <c r="C2993" i="3"/>
  <c r="C2573" i="3"/>
  <c r="E2571" i="3"/>
  <c r="C3572" i="3"/>
  <c r="E3570" i="3"/>
  <c r="C4936" i="3"/>
  <c r="E4933" i="3"/>
  <c r="C5104" i="3"/>
  <c r="E5102" i="3"/>
  <c r="E2482" i="3"/>
  <c r="E2709" i="3"/>
  <c r="C2711" i="3"/>
  <c r="D1349" i="3"/>
  <c r="E1347" i="3"/>
  <c r="C1525" i="3"/>
  <c r="E1523" i="3"/>
  <c r="D3537" i="3"/>
  <c r="C2632" i="3"/>
  <c r="E2630" i="3"/>
  <c r="C1667" i="3"/>
  <c r="E1665" i="3"/>
  <c r="D2406" i="3"/>
  <c r="E2404" i="3"/>
  <c r="C126" i="3"/>
  <c r="C3346" i="3"/>
  <c r="E3344" i="3"/>
  <c r="E4265" i="3"/>
  <c r="C4267" i="3"/>
  <c r="E1477" i="3"/>
  <c r="E1406" i="3"/>
  <c r="D1408" i="3"/>
  <c r="E3315" i="3"/>
  <c r="C3317" i="3"/>
  <c r="D3162" i="3"/>
  <c r="D4160" i="3"/>
  <c r="E4158" i="3"/>
  <c r="C4533" i="3"/>
  <c r="E4531" i="3"/>
  <c r="E3102" i="3"/>
  <c r="D3104" i="3"/>
  <c r="E4611" i="3"/>
  <c r="D4613" i="3"/>
  <c r="E4813" i="3"/>
  <c r="C4815" i="3"/>
  <c r="E1734" i="3"/>
  <c r="C1736" i="3"/>
  <c r="C5301" i="3"/>
  <c r="E5299" i="3"/>
  <c r="C5262" i="3"/>
  <c r="E5260" i="3"/>
  <c r="E3461" i="3"/>
  <c r="C3463" i="3"/>
  <c r="C4054" i="3"/>
  <c r="E4052" i="3"/>
  <c r="C2536" i="3"/>
  <c r="E2534" i="3"/>
  <c r="E1763" i="3"/>
  <c r="D4713" i="3"/>
  <c r="E4711" i="3"/>
  <c r="E4181" i="3"/>
  <c r="E2680" i="3"/>
  <c r="D2455" i="3"/>
  <c r="E2453" i="3"/>
  <c r="C5218" i="3"/>
  <c r="E5213" i="3"/>
  <c r="E2195" i="3"/>
  <c r="C2197" i="3"/>
  <c r="D4684" i="3"/>
  <c r="E4682" i="3"/>
  <c r="C1228" i="3"/>
  <c r="E1226" i="3"/>
  <c r="E3372" i="3"/>
  <c r="E83" i="3"/>
  <c r="C5106" i="3" l="1"/>
  <c r="E5104" i="3"/>
  <c r="C4939" i="3"/>
  <c r="E4936" i="3"/>
  <c r="E2993" i="3"/>
  <c r="C2995" i="3"/>
  <c r="C3216" i="3"/>
  <c r="E3214" i="3"/>
  <c r="C3574" i="3"/>
  <c r="E3572" i="3"/>
  <c r="C2575" i="3"/>
  <c r="E2573" i="3"/>
  <c r="C4056" i="3"/>
  <c r="E4054" i="3"/>
  <c r="E1667" i="3"/>
  <c r="C1669" i="3"/>
  <c r="C3465" i="3"/>
  <c r="E3463" i="3"/>
  <c r="E4713" i="3"/>
  <c r="D4715" i="3"/>
  <c r="D4162" i="3"/>
  <c r="E4160" i="3"/>
  <c r="E2632" i="3"/>
  <c r="E4684" i="3"/>
  <c r="C1739" i="3"/>
  <c r="E1736" i="3"/>
  <c r="C4269" i="3"/>
  <c r="E4267" i="3"/>
  <c r="E4533" i="3"/>
  <c r="C4535" i="3"/>
  <c r="E5262" i="3"/>
  <c r="C5264" i="3"/>
  <c r="D3164" i="3"/>
  <c r="E3162" i="3"/>
  <c r="E5301" i="3"/>
  <c r="C5303" i="3"/>
  <c r="E3346" i="3"/>
  <c r="C1527" i="3"/>
  <c r="E1525" i="3"/>
  <c r="C5221" i="3"/>
  <c r="E5218" i="3"/>
  <c r="C1765" i="3"/>
  <c r="D4615" i="3"/>
  <c r="E4613" i="3"/>
  <c r="C2538" i="3"/>
  <c r="E2536" i="3"/>
  <c r="E1349" i="3"/>
  <c r="D1351" i="3"/>
  <c r="C2199" i="3"/>
  <c r="E2197" i="3"/>
  <c r="E4815" i="3"/>
  <c r="C4817" i="3"/>
  <c r="D3539" i="3"/>
  <c r="E3537" i="3"/>
  <c r="E3317" i="3"/>
  <c r="E2455" i="3"/>
  <c r="D3106" i="3"/>
  <c r="E3104" i="3"/>
  <c r="D1410" i="3"/>
  <c r="E1408" i="3"/>
  <c r="E126" i="3"/>
  <c r="C2713" i="3"/>
  <c r="E2711" i="3"/>
  <c r="D2484" i="3"/>
  <c r="E2406" i="3"/>
  <c r="D2408" i="3"/>
  <c r="C1230" i="3"/>
  <c r="E1228" i="3"/>
  <c r="C2997" i="3" l="1"/>
  <c r="E2995" i="3"/>
  <c r="C2577" i="3"/>
  <c r="E2575" i="3"/>
  <c r="E3574" i="3"/>
  <c r="C3576" i="3"/>
  <c r="E3216" i="3"/>
  <c r="C3218" i="3"/>
  <c r="C4941" i="3"/>
  <c r="E4939" i="3"/>
  <c r="C5108" i="3"/>
  <c r="E5106" i="3"/>
  <c r="C2202" i="3"/>
  <c r="E2199" i="3"/>
  <c r="D1353" i="3"/>
  <c r="E1351" i="3"/>
  <c r="E4535" i="3"/>
  <c r="C4537" i="3"/>
  <c r="D4717" i="3"/>
  <c r="E4715" i="3"/>
  <c r="D2486" i="3"/>
  <c r="E2484" i="3"/>
  <c r="D4183" i="3"/>
  <c r="D2457" i="3"/>
  <c r="E4056" i="3"/>
  <c r="C4058" i="3"/>
  <c r="C3319" i="3"/>
  <c r="D1412" i="3"/>
  <c r="E1410" i="3"/>
  <c r="C5224" i="3"/>
  <c r="E5221" i="3"/>
  <c r="D3166" i="3"/>
  <c r="E3164" i="3"/>
  <c r="E1230" i="3"/>
  <c r="C1232" i="3"/>
  <c r="C2540" i="3"/>
  <c r="E2538" i="3"/>
  <c r="C1529" i="3"/>
  <c r="E1527" i="3"/>
  <c r="E4269" i="3"/>
  <c r="C4271" i="3"/>
  <c r="D3108" i="3"/>
  <c r="E3106" i="3"/>
  <c r="E4162" i="3"/>
  <c r="D4164" i="3"/>
  <c r="C5266" i="3"/>
  <c r="E5264" i="3"/>
  <c r="C2715" i="3"/>
  <c r="E2713" i="3"/>
  <c r="D3541" i="3"/>
  <c r="E3539" i="3"/>
  <c r="C3467" i="3"/>
  <c r="E3465" i="3"/>
  <c r="C1767" i="3"/>
  <c r="E1765" i="3"/>
  <c r="D2410" i="3"/>
  <c r="E2408" i="3"/>
  <c r="E4817" i="3"/>
  <c r="C4819" i="3"/>
  <c r="C1671" i="3"/>
  <c r="E1669" i="3"/>
  <c r="D4617" i="3"/>
  <c r="E4615" i="3"/>
  <c r="C1741" i="3"/>
  <c r="E1741" i="3" s="1"/>
  <c r="E1739" i="3"/>
  <c r="C5305" i="3"/>
  <c r="E5303" i="3"/>
  <c r="C3578" i="3" l="1"/>
  <c r="E3576" i="3"/>
  <c r="C3220" i="3"/>
  <c r="E3218" i="3"/>
  <c r="E2577" i="3"/>
  <c r="C2579" i="3"/>
  <c r="C4944" i="3"/>
  <c r="E4941" i="3"/>
  <c r="D2361" i="3"/>
  <c r="C5110" i="3"/>
  <c r="E5108" i="3"/>
  <c r="C2999" i="3"/>
  <c r="E2997" i="3"/>
  <c r="C5307" i="3"/>
  <c r="E5305" i="3"/>
  <c r="C4539" i="3"/>
  <c r="E4537" i="3"/>
  <c r="C3347" i="3"/>
  <c r="E3166" i="3"/>
  <c r="E3319" i="3"/>
  <c r="D1298" i="3"/>
  <c r="C3374" i="3"/>
  <c r="E3374" i="3" s="1"/>
  <c r="E1412" i="3"/>
  <c r="D1417" i="3"/>
  <c r="E4617" i="3"/>
  <c r="D4619" i="3"/>
  <c r="C2717" i="3"/>
  <c r="E2715" i="3"/>
  <c r="E1529" i="3"/>
  <c r="C1531" i="3"/>
  <c r="E3108" i="3"/>
  <c r="E2486" i="3"/>
  <c r="C2542" i="3"/>
  <c r="E2540" i="3"/>
  <c r="E4164" i="3"/>
  <c r="E4183" i="3"/>
  <c r="D4185" i="3"/>
  <c r="D2412" i="3"/>
  <c r="E2410" i="3"/>
  <c r="E4271" i="3"/>
  <c r="C4273" i="3"/>
  <c r="E2202" i="3"/>
  <c r="C2205" i="3"/>
  <c r="C5226" i="3"/>
  <c r="E5224" i="3"/>
  <c r="C1673" i="3"/>
  <c r="E1671" i="3"/>
  <c r="E1767" i="3"/>
  <c r="E4819" i="3"/>
  <c r="C4821" i="3"/>
  <c r="C1234" i="3"/>
  <c r="E1232" i="3"/>
  <c r="D4719" i="3"/>
  <c r="E4717" i="3"/>
  <c r="E3541" i="3"/>
  <c r="C4060" i="3"/>
  <c r="E4058" i="3"/>
  <c r="C3469" i="3"/>
  <c r="E3467" i="3"/>
  <c r="C5268" i="3"/>
  <c r="E5266" i="3"/>
  <c r="E2457" i="3"/>
  <c r="D2459" i="3"/>
  <c r="E1353" i="3"/>
  <c r="D1355" i="3"/>
  <c r="E5110" i="3" l="1"/>
  <c r="C5112" i="3"/>
  <c r="E2361" i="3"/>
  <c r="D2363" i="3"/>
  <c r="C2581" i="3"/>
  <c r="E2579" i="3"/>
  <c r="E3220" i="3"/>
  <c r="C3222" i="3"/>
  <c r="D3071" i="3"/>
  <c r="C4947" i="3"/>
  <c r="E4944" i="3"/>
  <c r="C3580" i="3"/>
  <c r="E3578" i="3"/>
  <c r="E2999" i="3"/>
  <c r="C3001" i="3"/>
  <c r="E2459" i="3"/>
  <c r="E4185" i="3"/>
  <c r="D1300" i="3"/>
  <c r="E1298" i="3"/>
  <c r="C2208" i="3"/>
  <c r="E2205" i="3"/>
  <c r="D1419" i="3"/>
  <c r="E1417" i="3"/>
  <c r="C3471" i="3"/>
  <c r="E3469" i="3"/>
  <c r="D2414" i="3"/>
  <c r="E2412" i="3"/>
  <c r="C1236" i="3"/>
  <c r="E1234" i="3"/>
  <c r="E4821" i="3"/>
  <c r="C4823" i="3"/>
  <c r="E4619" i="3"/>
  <c r="D4621" i="3"/>
  <c r="D3110" i="3"/>
  <c r="E4719" i="3"/>
  <c r="D4721" i="3"/>
  <c r="E2717" i="3"/>
  <c r="C2720" i="3"/>
  <c r="C5229" i="3"/>
  <c r="E5226" i="3"/>
  <c r="C5270" i="3"/>
  <c r="E5268" i="3"/>
  <c r="E4060" i="3"/>
  <c r="C4062" i="3"/>
  <c r="D3543" i="3"/>
  <c r="C3350" i="3"/>
  <c r="E3347" i="3"/>
  <c r="E4273" i="3"/>
  <c r="C4275" i="3"/>
  <c r="E4539" i="3"/>
  <c r="C4541" i="3"/>
  <c r="C1675" i="3"/>
  <c r="E1673" i="3"/>
  <c r="D1357" i="3"/>
  <c r="E1355" i="3"/>
  <c r="C1533" i="3"/>
  <c r="E1531" i="3"/>
  <c r="E2542" i="3"/>
  <c r="C2544" i="3"/>
  <c r="C5309" i="3"/>
  <c r="E5307" i="3"/>
  <c r="E3580" i="3" l="1"/>
  <c r="C3582" i="3"/>
  <c r="C3224" i="3"/>
  <c r="E3222" i="3"/>
  <c r="D3073" i="3"/>
  <c r="E3071" i="3"/>
  <c r="E2581" i="3"/>
  <c r="C2583" i="3"/>
  <c r="E2363" i="3"/>
  <c r="D2365" i="3"/>
  <c r="C3003" i="3"/>
  <c r="E3001" i="3"/>
  <c r="C5114" i="3"/>
  <c r="E5112" i="3"/>
  <c r="C4950" i="3"/>
  <c r="E4947" i="3"/>
  <c r="E1357" i="3"/>
  <c r="D1359" i="3"/>
  <c r="E3471" i="3"/>
  <c r="C3473" i="3"/>
  <c r="C1238" i="3"/>
  <c r="E1236" i="3"/>
  <c r="E2414" i="3"/>
  <c r="D2416" i="3"/>
  <c r="C3321" i="3"/>
  <c r="E4275" i="3"/>
  <c r="C4277" i="3"/>
  <c r="E5309" i="3"/>
  <c r="C5311" i="3"/>
  <c r="D3112" i="3"/>
  <c r="E3110" i="3"/>
  <c r="C3352" i="3"/>
  <c r="E3350" i="3"/>
  <c r="C5272" i="3"/>
  <c r="E5270" i="3"/>
  <c r="C2210" i="3"/>
  <c r="E2208" i="3"/>
  <c r="E1300" i="3"/>
  <c r="C4064" i="3"/>
  <c r="E4062" i="3"/>
  <c r="C2546" i="3"/>
  <c r="E2544" i="3"/>
  <c r="D1422" i="3"/>
  <c r="E1419" i="3"/>
  <c r="E4541" i="3"/>
  <c r="C4543" i="3"/>
  <c r="E2720" i="3"/>
  <c r="D4623" i="3"/>
  <c r="E4621" i="3"/>
  <c r="C1535" i="3"/>
  <c r="E1533" i="3"/>
  <c r="D4166" i="3"/>
  <c r="E4166" i="3" s="1"/>
  <c r="E1675" i="3"/>
  <c r="C1677" i="3"/>
  <c r="E5229" i="3"/>
  <c r="C5232" i="3"/>
  <c r="D4723" i="3"/>
  <c r="E4721" i="3"/>
  <c r="E4823" i="3"/>
  <c r="C4825" i="3"/>
  <c r="E3543" i="3"/>
  <c r="E2583" i="3" l="1"/>
  <c r="C2585" i="3"/>
  <c r="E5114" i="3"/>
  <c r="C5116" i="3"/>
  <c r="E3003" i="3"/>
  <c r="C3005" i="3"/>
  <c r="E3073" i="3"/>
  <c r="C3226" i="3"/>
  <c r="E3224" i="3"/>
  <c r="D2367" i="3"/>
  <c r="E2365" i="3"/>
  <c r="C3584" i="3"/>
  <c r="E3582" i="3"/>
  <c r="C4952" i="3"/>
  <c r="E4950" i="3"/>
  <c r="C5313" i="3"/>
  <c r="E5311" i="3"/>
  <c r="C4279" i="3"/>
  <c r="E4277" i="3"/>
  <c r="C3475" i="3"/>
  <c r="E3473" i="3"/>
  <c r="C4066" i="3"/>
  <c r="E4064" i="3"/>
  <c r="E2210" i="3"/>
  <c r="C2212" i="3"/>
  <c r="E1359" i="3"/>
  <c r="D2463" i="3"/>
  <c r="D3545" i="3"/>
  <c r="E3321" i="3"/>
  <c r="C3323" i="3"/>
  <c r="D1426" i="3"/>
  <c r="E1422" i="3"/>
  <c r="E3352" i="3"/>
  <c r="E1535" i="3"/>
  <c r="C1537" i="3"/>
  <c r="E4623" i="3"/>
  <c r="D4625" i="3"/>
  <c r="C5234" i="3"/>
  <c r="E5234" i="3" s="1"/>
  <c r="E5232" i="3"/>
  <c r="C1679" i="3"/>
  <c r="E1677" i="3"/>
  <c r="C4545" i="3"/>
  <c r="E4543" i="3"/>
  <c r="E2416" i="3"/>
  <c r="E4723" i="3"/>
  <c r="D4725" i="3"/>
  <c r="D3168" i="3"/>
  <c r="C2548" i="3"/>
  <c r="E2546" i="3"/>
  <c r="C5274" i="3"/>
  <c r="E5272" i="3"/>
  <c r="E4825" i="3"/>
  <c r="C4827" i="3"/>
  <c r="E3112" i="3"/>
  <c r="E1238" i="3"/>
  <c r="C1240" i="3"/>
  <c r="C4954" i="3" l="1"/>
  <c r="E4952" i="3"/>
  <c r="C3586" i="3"/>
  <c r="E3584" i="3"/>
  <c r="C3228" i="3"/>
  <c r="E3226" i="3"/>
  <c r="D3075" i="3"/>
  <c r="E5116" i="3"/>
  <c r="C5118" i="3"/>
  <c r="E2367" i="3"/>
  <c r="E2585" i="3"/>
  <c r="C2587" i="3"/>
  <c r="C3007" i="3"/>
  <c r="E3005" i="3"/>
  <c r="E4827" i="3"/>
  <c r="C4829" i="3"/>
  <c r="E4725" i="3"/>
  <c r="D4727" i="3"/>
  <c r="E2463" i="3"/>
  <c r="C1681" i="3"/>
  <c r="E1679" i="3"/>
  <c r="C4281" i="3"/>
  <c r="E4281" i="3" s="1"/>
  <c r="E4279" i="3"/>
  <c r="C5276" i="3"/>
  <c r="E5276" i="3" s="1"/>
  <c r="E5274" i="3"/>
  <c r="C3477" i="3"/>
  <c r="E3475" i="3"/>
  <c r="E1240" i="3"/>
  <c r="C1242" i="3"/>
  <c r="D4627" i="3"/>
  <c r="E4625" i="3"/>
  <c r="D1361" i="3"/>
  <c r="E3323" i="3"/>
  <c r="D3114" i="3"/>
  <c r="E4066" i="3"/>
  <c r="C4068" i="3"/>
  <c r="C1539" i="3"/>
  <c r="E1537" i="3"/>
  <c r="C4547" i="3"/>
  <c r="E4545" i="3"/>
  <c r="E1426" i="3"/>
  <c r="D1428" i="3"/>
  <c r="D1302" i="3"/>
  <c r="D3547" i="3"/>
  <c r="E3547" i="3" s="1"/>
  <c r="E3545" i="3"/>
  <c r="C2214" i="3"/>
  <c r="E2212" i="3"/>
  <c r="E2548" i="3"/>
  <c r="C2550" i="3"/>
  <c r="E3168" i="3"/>
  <c r="C5315" i="3"/>
  <c r="E5313" i="3"/>
  <c r="D3077" i="3" l="1"/>
  <c r="E3075" i="3"/>
  <c r="E3007" i="3"/>
  <c r="C3009" i="3"/>
  <c r="D2369" i="3"/>
  <c r="E5118" i="3"/>
  <c r="C5120" i="3"/>
  <c r="C3230" i="3"/>
  <c r="E3228" i="3"/>
  <c r="C2589" i="3"/>
  <c r="E2587" i="3"/>
  <c r="C3588" i="3"/>
  <c r="E3586" i="3"/>
  <c r="C4963" i="3"/>
  <c r="E4954" i="3"/>
  <c r="D4729" i="3"/>
  <c r="E4729" i="3" s="1"/>
  <c r="E4727" i="3"/>
  <c r="E1428" i="3"/>
  <c r="D1434" i="3"/>
  <c r="E5315" i="3"/>
  <c r="C5317" i="3"/>
  <c r="C2552" i="3"/>
  <c r="E2550" i="3"/>
  <c r="C4549" i="3"/>
  <c r="E4547" i="3"/>
  <c r="D2488" i="3"/>
  <c r="E3477" i="3"/>
  <c r="C3479" i="3"/>
  <c r="D3170" i="3"/>
  <c r="D1363" i="3"/>
  <c r="E1361" i="3"/>
  <c r="D4629" i="3"/>
  <c r="E4627" i="3"/>
  <c r="C1244" i="3"/>
  <c r="E1242" i="3"/>
  <c r="E1539" i="3"/>
  <c r="C1541" i="3"/>
  <c r="C4070" i="3"/>
  <c r="E4068" i="3"/>
  <c r="C2216" i="3"/>
  <c r="E2214" i="3"/>
  <c r="C1683" i="3"/>
  <c r="E1681" i="3"/>
  <c r="D1304" i="3"/>
  <c r="E1302" i="3"/>
  <c r="E4829" i="3"/>
  <c r="C4831" i="3"/>
  <c r="E3114" i="3"/>
  <c r="D3116" i="3"/>
  <c r="C3590" i="3" l="1"/>
  <c r="E3588" i="3"/>
  <c r="C3232" i="3"/>
  <c r="E3230" i="3"/>
  <c r="E3009" i="3"/>
  <c r="C3011" i="3"/>
  <c r="C2591" i="3"/>
  <c r="E2589" i="3"/>
  <c r="C4968" i="3"/>
  <c r="E4963" i="3"/>
  <c r="E5120" i="3"/>
  <c r="C5122" i="3"/>
  <c r="E2369" i="3"/>
  <c r="E3077" i="3"/>
  <c r="D3079" i="3"/>
  <c r="C3325" i="3"/>
  <c r="C4072" i="3"/>
  <c r="E4070" i="3"/>
  <c r="C2554" i="3"/>
  <c r="E2552" i="3"/>
  <c r="C5319" i="3"/>
  <c r="E5317" i="3"/>
  <c r="C2218" i="3"/>
  <c r="E2216" i="3"/>
  <c r="E1434" i="3"/>
  <c r="D1439" i="3"/>
  <c r="D3172" i="3"/>
  <c r="E3170" i="3"/>
  <c r="E1304" i="3"/>
  <c r="C1769" i="3"/>
  <c r="C3481" i="3"/>
  <c r="E3479" i="3"/>
  <c r="E1541" i="3"/>
  <c r="C1543" i="3"/>
  <c r="E1363" i="3"/>
  <c r="C1246" i="3"/>
  <c r="E1244" i="3"/>
  <c r="D3118" i="3"/>
  <c r="E3116" i="3"/>
  <c r="D2490" i="3"/>
  <c r="E2488" i="3"/>
  <c r="D1479" i="3"/>
  <c r="E4831" i="3"/>
  <c r="C4833" i="3"/>
  <c r="E1683" i="3"/>
  <c r="C1685" i="3"/>
  <c r="E4629" i="3"/>
  <c r="D4631" i="3"/>
  <c r="E4549" i="3"/>
  <c r="C4551" i="3"/>
  <c r="C5124" i="3" l="1"/>
  <c r="E5122" i="3"/>
  <c r="C4971" i="3"/>
  <c r="E4968" i="3"/>
  <c r="C3013" i="3"/>
  <c r="E3011" i="3"/>
  <c r="C2593" i="3"/>
  <c r="E2591" i="3"/>
  <c r="E3232" i="3"/>
  <c r="C3234" i="3"/>
  <c r="E3079" i="3"/>
  <c r="D3081" i="3"/>
  <c r="C3592" i="3"/>
  <c r="E3590" i="3"/>
  <c r="E2490" i="3"/>
  <c r="E2218" i="3"/>
  <c r="C2220" i="3"/>
  <c r="C1545" i="3"/>
  <c r="E1543" i="3"/>
  <c r="E1479" i="3"/>
  <c r="D1481" i="3"/>
  <c r="C1687" i="3"/>
  <c r="E1685" i="3"/>
  <c r="C1771" i="3"/>
  <c r="E1771" i="3" s="1"/>
  <c r="E1769" i="3"/>
  <c r="E4833" i="3"/>
  <c r="C4835" i="3"/>
  <c r="C3483" i="3"/>
  <c r="E3481" i="3"/>
  <c r="C2556" i="3"/>
  <c r="E2554" i="3"/>
  <c r="E4551" i="3"/>
  <c r="C4553" i="3"/>
  <c r="E1246" i="3"/>
  <c r="C1248" i="3"/>
  <c r="E4072" i="3"/>
  <c r="C4074" i="3"/>
  <c r="D3120" i="3"/>
  <c r="E3120" i="3" s="1"/>
  <c r="E3118" i="3"/>
  <c r="C5321" i="3"/>
  <c r="E5319" i="3"/>
  <c r="E3172" i="3"/>
  <c r="D4633" i="3"/>
  <c r="E4631" i="3"/>
  <c r="D1365" i="3"/>
  <c r="D1444" i="3"/>
  <c r="E1439" i="3"/>
  <c r="C3327" i="3"/>
  <c r="E3325" i="3"/>
  <c r="E3592" i="3" l="1"/>
  <c r="C3594" i="3"/>
  <c r="E3234" i="3"/>
  <c r="C3236" i="3"/>
  <c r="E3081" i="3"/>
  <c r="E4971" i="3"/>
  <c r="C4976" i="3"/>
  <c r="C2595" i="3"/>
  <c r="E2593" i="3"/>
  <c r="C3015" i="3"/>
  <c r="E3013" i="3"/>
  <c r="C5126" i="3"/>
  <c r="E5124" i="3"/>
  <c r="E4835" i="3"/>
  <c r="C4837" i="3"/>
  <c r="E1444" i="3"/>
  <c r="D1446" i="3"/>
  <c r="C2222" i="3"/>
  <c r="E2220" i="3"/>
  <c r="E1248" i="3"/>
  <c r="C1250" i="3"/>
  <c r="D2418" i="3"/>
  <c r="E4553" i="3"/>
  <c r="C4555" i="3"/>
  <c r="E1365" i="3"/>
  <c r="E1545" i="3"/>
  <c r="C1547" i="3"/>
  <c r="E4074" i="3"/>
  <c r="C4076" i="3"/>
  <c r="E1481" i="3"/>
  <c r="C5323" i="3"/>
  <c r="E5321" i="3"/>
  <c r="E4633" i="3"/>
  <c r="D4635" i="3"/>
  <c r="C2558" i="3"/>
  <c r="E2556" i="3"/>
  <c r="E3483" i="3"/>
  <c r="C3485" i="3"/>
  <c r="C1689" i="3"/>
  <c r="E1687" i="3"/>
  <c r="E3327" i="3"/>
  <c r="E5126" i="3" l="1"/>
  <c r="C5128" i="3"/>
  <c r="E5128" i="3" s="1"/>
  <c r="E4976" i="3"/>
  <c r="C4981" i="3"/>
  <c r="E2595" i="3"/>
  <c r="C2597" i="3"/>
  <c r="E3236" i="3"/>
  <c r="C3238" i="3"/>
  <c r="E3015" i="3"/>
  <c r="C3017" i="3"/>
  <c r="E3594" i="3"/>
  <c r="C3596" i="3"/>
  <c r="D2371" i="3"/>
  <c r="C1252" i="3"/>
  <c r="E1250" i="3"/>
  <c r="E4635" i="3"/>
  <c r="D4637" i="3"/>
  <c r="D1449" i="3"/>
  <c r="E1446" i="3"/>
  <c r="C1691" i="3"/>
  <c r="E1689" i="3"/>
  <c r="C3487" i="3"/>
  <c r="E3485" i="3"/>
  <c r="E4555" i="3"/>
  <c r="C4557" i="3"/>
  <c r="C2560" i="3"/>
  <c r="E2560" i="3" s="1"/>
  <c r="E2558" i="3"/>
  <c r="C5325" i="3"/>
  <c r="E5323" i="3"/>
  <c r="C2224" i="3"/>
  <c r="E2222" i="3"/>
  <c r="C4078" i="3"/>
  <c r="E4076" i="3"/>
  <c r="D1306" i="3"/>
  <c r="C1549" i="3"/>
  <c r="E1547" i="3"/>
  <c r="E4837" i="3"/>
  <c r="C4839" i="3"/>
  <c r="D2420" i="3"/>
  <c r="E2418" i="3"/>
  <c r="E3017" i="3" l="1"/>
  <c r="C3019" i="3"/>
  <c r="E3238" i="3"/>
  <c r="C3240" i="3"/>
  <c r="C2599" i="3"/>
  <c r="E2597" i="3"/>
  <c r="E4981" i="3"/>
  <c r="C4992" i="3"/>
  <c r="D2373" i="3"/>
  <c r="E2371" i="3"/>
  <c r="E3596" i="3"/>
  <c r="C3598" i="3"/>
  <c r="E3487" i="3"/>
  <c r="C3489" i="3"/>
  <c r="C1551" i="3"/>
  <c r="E1549" i="3"/>
  <c r="E4839" i="3"/>
  <c r="C4841" i="3"/>
  <c r="C5327" i="3"/>
  <c r="E5325" i="3"/>
  <c r="E4557" i="3"/>
  <c r="C4559" i="3"/>
  <c r="E1691" i="3"/>
  <c r="C1693" i="3"/>
  <c r="E1693" i="3" s="1"/>
  <c r="D4639" i="3"/>
  <c r="E4637" i="3"/>
  <c r="C1254" i="3"/>
  <c r="E1252" i="3"/>
  <c r="E1306" i="3"/>
  <c r="D1308" i="3"/>
  <c r="E2420" i="3"/>
  <c r="D2422" i="3"/>
  <c r="D1451" i="3"/>
  <c r="E1449" i="3"/>
  <c r="E4078" i="3"/>
  <c r="C4080" i="3"/>
  <c r="C2226" i="3"/>
  <c r="E2224" i="3"/>
  <c r="C3600" i="3" l="1"/>
  <c r="E3598" i="3"/>
  <c r="C2601" i="3"/>
  <c r="E2599" i="3"/>
  <c r="D2375" i="3"/>
  <c r="E2373" i="3"/>
  <c r="C3021" i="3"/>
  <c r="E3019" i="3"/>
  <c r="C4995" i="3"/>
  <c r="E4992" i="3"/>
  <c r="C3242" i="3"/>
  <c r="E3240" i="3"/>
  <c r="C1256" i="3"/>
  <c r="E1254" i="3"/>
  <c r="C4082" i="3"/>
  <c r="E4080" i="3"/>
  <c r="E1451" i="3"/>
  <c r="D1453" i="3"/>
  <c r="E1551" i="3"/>
  <c r="C1553" i="3"/>
  <c r="E1308" i="3"/>
  <c r="C4561" i="3"/>
  <c r="E4559" i="3"/>
  <c r="E4639" i="3"/>
  <c r="D4641" i="3"/>
  <c r="C3491" i="3"/>
  <c r="E3489" i="3"/>
  <c r="C2228" i="3"/>
  <c r="E2226" i="3"/>
  <c r="C5329" i="3"/>
  <c r="E5327" i="3"/>
  <c r="E2422" i="3"/>
  <c r="E4841" i="3"/>
  <c r="C4843" i="3"/>
  <c r="C4999" i="3" l="1"/>
  <c r="E4995" i="3"/>
  <c r="D2377" i="3"/>
  <c r="E2375" i="3"/>
  <c r="E3242" i="3"/>
  <c r="C3244" i="3"/>
  <c r="C2603" i="3"/>
  <c r="E2601" i="3"/>
  <c r="C3023" i="3"/>
  <c r="E3021" i="3"/>
  <c r="C3602" i="3"/>
  <c r="E3600" i="3"/>
  <c r="D1310" i="3"/>
  <c r="C4084" i="3"/>
  <c r="E4082" i="3"/>
  <c r="E5329" i="3"/>
  <c r="C5331" i="3"/>
  <c r="D1456" i="3"/>
  <c r="E1453" i="3"/>
  <c r="C2230" i="3"/>
  <c r="E2228" i="3"/>
  <c r="E4843" i="3"/>
  <c r="C4845" i="3"/>
  <c r="D4643" i="3"/>
  <c r="E4641" i="3"/>
  <c r="C4563" i="3"/>
  <c r="E4561" i="3"/>
  <c r="C3493" i="3"/>
  <c r="E3491" i="3"/>
  <c r="C3495" i="3"/>
  <c r="E3495" i="3" s="1"/>
  <c r="E1553" i="3"/>
  <c r="C1555" i="3"/>
  <c r="C1258" i="3"/>
  <c r="E1256" i="3"/>
  <c r="E3023" i="3" l="1"/>
  <c r="C3025" i="3"/>
  <c r="C2605" i="3"/>
  <c r="E2603" i="3"/>
  <c r="E3602" i="3"/>
  <c r="C3604" i="3"/>
  <c r="E2377" i="3"/>
  <c r="D2379" i="3"/>
  <c r="E3244" i="3"/>
  <c r="C3246" i="3"/>
  <c r="E4999" i="3"/>
  <c r="C5004" i="3"/>
  <c r="E3493" i="3"/>
  <c r="C3497" i="3"/>
  <c r="D1458" i="3"/>
  <c r="E1458" i="3" s="1"/>
  <c r="E1456" i="3"/>
  <c r="E4084" i="3"/>
  <c r="C4086" i="3"/>
  <c r="C5333" i="3"/>
  <c r="E5331" i="3"/>
  <c r="D1367" i="3"/>
  <c r="C4565" i="3"/>
  <c r="E4563" i="3"/>
  <c r="D4645" i="3"/>
  <c r="E4643" i="3"/>
  <c r="E1258" i="3"/>
  <c r="C1260" i="3"/>
  <c r="C2232" i="3"/>
  <c r="E2230" i="3"/>
  <c r="C1557" i="3"/>
  <c r="E1555" i="3"/>
  <c r="D1312" i="3"/>
  <c r="E1310" i="3"/>
  <c r="D1483" i="3"/>
  <c r="E4845" i="3"/>
  <c r="C4847" i="3"/>
  <c r="E3246" i="3" l="1"/>
  <c r="C3248" i="3"/>
  <c r="C2607" i="3"/>
  <c r="E2607" i="3" s="1"/>
  <c r="E2605" i="3"/>
  <c r="E3025" i="3"/>
  <c r="C3027" i="3"/>
  <c r="C5007" i="3"/>
  <c r="E5004" i="3"/>
  <c r="E2379" i="3"/>
  <c r="C3606" i="3"/>
  <c r="E3604" i="3"/>
  <c r="D2424" i="3"/>
  <c r="E2232" i="3"/>
  <c r="C2234" i="3"/>
  <c r="C1262" i="3"/>
  <c r="E1260" i="3"/>
  <c r="C5335" i="3"/>
  <c r="E5335" i="3" s="1"/>
  <c r="E5333" i="3"/>
  <c r="C4088" i="3"/>
  <c r="E4086" i="3"/>
  <c r="E1557" i="3"/>
  <c r="C1559" i="3"/>
  <c r="E4847" i="3"/>
  <c r="C4849" i="3"/>
  <c r="C4567" i="3"/>
  <c r="E4565" i="3"/>
  <c r="D1369" i="3"/>
  <c r="E1367" i="3"/>
  <c r="E1312" i="3"/>
  <c r="E4645" i="3"/>
  <c r="D1485" i="3"/>
  <c r="E1483" i="3"/>
  <c r="C3499" i="3"/>
  <c r="E3497" i="3"/>
  <c r="C3608" i="3" l="1"/>
  <c r="E3606" i="3"/>
  <c r="E5007" i="3"/>
  <c r="C5010" i="3"/>
  <c r="C3029" i="3"/>
  <c r="E3027" i="3"/>
  <c r="E3248" i="3"/>
  <c r="C3250" i="3"/>
  <c r="E4567" i="3"/>
  <c r="C4569" i="3"/>
  <c r="E4849" i="3"/>
  <c r="C4851" i="3"/>
  <c r="C1264" i="3"/>
  <c r="E1262" i="3"/>
  <c r="E4088" i="3"/>
  <c r="C4090" i="3"/>
  <c r="E3499" i="3"/>
  <c r="C3501" i="3"/>
  <c r="C1561" i="3"/>
  <c r="E1559" i="3"/>
  <c r="E1485" i="3"/>
  <c r="D1314" i="3"/>
  <c r="C2236" i="3"/>
  <c r="E2234" i="3"/>
  <c r="E1369" i="3"/>
  <c r="E2424" i="3"/>
  <c r="D2426" i="3"/>
  <c r="E3029" i="3" l="1"/>
  <c r="C3031" i="3"/>
  <c r="D2381" i="3"/>
  <c r="C3252" i="3"/>
  <c r="E3250" i="3"/>
  <c r="C5014" i="3"/>
  <c r="E5010" i="3"/>
  <c r="E3608" i="3"/>
  <c r="C3610" i="3"/>
  <c r="C3503" i="3"/>
  <c r="E3501" i="3"/>
  <c r="E4090" i="3"/>
  <c r="C4092" i="3"/>
  <c r="E1561" i="3"/>
  <c r="C1563" i="3"/>
  <c r="D1316" i="3"/>
  <c r="E1314" i="3"/>
  <c r="D2428" i="3"/>
  <c r="E2428" i="3" s="1"/>
  <c r="E2426" i="3"/>
  <c r="C2238" i="3"/>
  <c r="E2236" i="3"/>
  <c r="C1266" i="3"/>
  <c r="E1264" i="3"/>
  <c r="E4851" i="3"/>
  <c r="C4853" i="3"/>
  <c r="C4571" i="3"/>
  <c r="E4569" i="3"/>
  <c r="C5016" i="3" l="1"/>
  <c r="E5014" i="3"/>
  <c r="E3610" i="3"/>
  <c r="C3612" i="3"/>
  <c r="C3254" i="3"/>
  <c r="E3252" i="3"/>
  <c r="D2383" i="3"/>
  <c r="E2381" i="3"/>
  <c r="C3033" i="3"/>
  <c r="E3031" i="3"/>
  <c r="C4573" i="3"/>
  <c r="E4571" i="3"/>
  <c r="C3505" i="3"/>
  <c r="E3503" i="3"/>
  <c r="E4853" i="3"/>
  <c r="C4855" i="3"/>
  <c r="C1268" i="3"/>
  <c r="E1266" i="3"/>
  <c r="D1318" i="3"/>
  <c r="E1316" i="3"/>
  <c r="C4094" i="3"/>
  <c r="E4092" i="3"/>
  <c r="E1563" i="3"/>
  <c r="C1565" i="3"/>
  <c r="C2240" i="3"/>
  <c r="E2238" i="3"/>
  <c r="C3035" i="3" l="1"/>
  <c r="E3033" i="3"/>
  <c r="E2383" i="3"/>
  <c r="E3612" i="3"/>
  <c r="C3614" i="3"/>
  <c r="E3254" i="3"/>
  <c r="C3256" i="3"/>
  <c r="E5016" i="3"/>
  <c r="C5019" i="3"/>
  <c r="E4573" i="3"/>
  <c r="C4575" i="3"/>
  <c r="C4096" i="3"/>
  <c r="E4094" i="3"/>
  <c r="E1318" i="3"/>
  <c r="E2240" i="3"/>
  <c r="C2242" i="3"/>
  <c r="E1268" i="3"/>
  <c r="C1270" i="3"/>
  <c r="E4855" i="3"/>
  <c r="C4857" i="3"/>
  <c r="C3507" i="3"/>
  <c r="E3505" i="3"/>
  <c r="C1567" i="3"/>
  <c r="E1565" i="3"/>
  <c r="C3258" i="3" l="1"/>
  <c r="E3256" i="3"/>
  <c r="C5023" i="3"/>
  <c r="E5019" i="3"/>
  <c r="C3616" i="3"/>
  <c r="E3614" i="3"/>
  <c r="E3035" i="3"/>
  <c r="C3037" i="3"/>
  <c r="E4857" i="3"/>
  <c r="C4859" i="3"/>
  <c r="C1272" i="3"/>
  <c r="E1270" i="3"/>
  <c r="E4096" i="3"/>
  <c r="C4098" i="3"/>
  <c r="C3509" i="3"/>
  <c r="E3509" i="3" s="1"/>
  <c r="E3507" i="3"/>
  <c r="E2242" i="3"/>
  <c r="C2244" i="3"/>
  <c r="C1569" i="3"/>
  <c r="E1567" i="3"/>
  <c r="C4577" i="3"/>
  <c r="E4575" i="3"/>
  <c r="C3039" i="3" l="1"/>
  <c r="E3037" i="3"/>
  <c r="C3618" i="3"/>
  <c r="E3616" i="3"/>
  <c r="C5027" i="3"/>
  <c r="E5023" i="3"/>
  <c r="E3258" i="3"/>
  <c r="C3260" i="3"/>
  <c r="C2246" i="3"/>
  <c r="E2244" i="3"/>
  <c r="E4098" i="3"/>
  <c r="C4100" i="3"/>
  <c r="C1274" i="3"/>
  <c r="E1272" i="3"/>
  <c r="C4579" i="3"/>
  <c r="E4577" i="3"/>
  <c r="C1571" i="3"/>
  <c r="E1569" i="3"/>
  <c r="E4859" i="3"/>
  <c r="C4861" i="3"/>
  <c r="C3262" i="3" l="1"/>
  <c r="E3260" i="3"/>
  <c r="C5029" i="3"/>
  <c r="E5027" i="3"/>
  <c r="E3618" i="3"/>
  <c r="C3620" i="3"/>
  <c r="E3039" i="3"/>
  <c r="C3041" i="3"/>
  <c r="C4581" i="3"/>
  <c r="E4579" i="3"/>
  <c r="C2248" i="3"/>
  <c r="E2246" i="3"/>
  <c r="C1276" i="3"/>
  <c r="E1274" i="3"/>
  <c r="C4102" i="3"/>
  <c r="E4100" i="3"/>
  <c r="E4861" i="3"/>
  <c r="C4863" i="3"/>
  <c r="C1573" i="3"/>
  <c r="E1571" i="3"/>
  <c r="E3041" i="3" l="1"/>
  <c r="C3043" i="3"/>
  <c r="C3622" i="3"/>
  <c r="E3620" i="3"/>
  <c r="E5029" i="3"/>
  <c r="C5031" i="3"/>
  <c r="E3262" i="3"/>
  <c r="C3264" i="3"/>
  <c r="E2248" i="3"/>
  <c r="C2250" i="3"/>
  <c r="E1573" i="3"/>
  <c r="C1575" i="3"/>
  <c r="E4102" i="3"/>
  <c r="C4104" i="3"/>
  <c r="E1276" i="3"/>
  <c r="C1278" i="3"/>
  <c r="E4863" i="3"/>
  <c r="C4865" i="3"/>
  <c r="C4583" i="3"/>
  <c r="E4581" i="3"/>
  <c r="C3266" i="3" l="1"/>
  <c r="E3264" i="3"/>
  <c r="C5033" i="3"/>
  <c r="E5031" i="3"/>
  <c r="C3045" i="3"/>
  <c r="E3043" i="3"/>
  <c r="C3624" i="3"/>
  <c r="E3622" i="3"/>
  <c r="E1278" i="3"/>
  <c r="C1280" i="3"/>
  <c r="C4106" i="3"/>
  <c r="E4104" i="3"/>
  <c r="C4585" i="3"/>
  <c r="E4583" i="3"/>
  <c r="E4865" i="3"/>
  <c r="C4867" i="3"/>
  <c r="E1575" i="3"/>
  <c r="C1577" i="3"/>
  <c r="C2252" i="3"/>
  <c r="E2250" i="3"/>
  <c r="C3626" i="3" l="1"/>
  <c r="E3624" i="3"/>
  <c r="E3045" i="3"/>
  <c r="C3047" i="3"/>
  <c r="C5038" i="3"/>
  <c r="E5033" i="3"/>
  <c r="E3266" i="3"/>
  <c r="C3268" i="3"/>
  <c r="E4867" i="3"/>
  <c r="C4869" i="3"/>
  <c r="C4587" i="3"/>
  <c r="E4587" i="3" s="1"/>
  <c r="E4585" i="3"/>
  <c r="D1320" i="3"/>
  <c r="C2254" i="3"/>
  <c r="E2252" i="3"/>
  <c r="C1579" i="3"/>
  <c r="E1577" i="3"/>
  <c r="C1282" i="3"/>
  <c r="E1280" i="3"/>
  <c r="C4108" i="3"/>
  <c r="E4106" i="3"/>
  <c r="C3270" i="3" l="1"/>
  <c r="E3268" i="3"/>
  <c r="E5038" i="3"/>
  <c r="C5043" i="3"/>
  <c r="E5043" i="3" s="1"/>
  <c r="E3047" i="3"/>
  <c r="C3049" i="3"/>
  <c r="C3628" i="3"/>
  <c r="E3626" i="3"/>
  <c r="E2254" i="3"/>
  <c r="C2257" i="3"/>
  <c r="D1322" i="3"/>
  <c r="E1320" i="3"/>
  <c r="E4108" i="3"/>
  <c r="C4110" i="3"/>
  <c r="E4869" i="3"/>
  <c r="C4871" i="3"/>
  <c r="C1284" i="3"/>
  <c r="E1282" i="3"/>
  <c r="E1579" i="3"/>
  <c r="C1581" i="3"/>
  <c r="E3049" i="3" l="1"/>
  <c r="C3051" i="3"/>
  <c r="C3630" i="3"/>
  <c r="E3628" i="3"/>
  <c r="E3270" i="3"/>
  <c r="C3272" i="3"/>
  <c r="C4112" i="3"/>
  <c r="E4110" i="3"/>
  <c r="C1583" i="3"/>
  <c r="E1581" i="3"/>
  <c r="E2257" i="3"/>
  <c r="C2259" i="3"/>
  <c r="E4871" i="3"/>
  <c r="C4873" i="3"/>
  <c r="E1322" i="3"/>
  <c r="C1286" i="3"/>
  <c r="E1284" i="3"/>
  <c r="C3274" i="3" l="1"/>
  <c r="E3272" i="3"/>
  <c r="E3051" i="3"/>
  <c r="C3053" i="3"/>
  <c r="E3630" i="3"/>
  <c r="C3632" i="3"/>
  <c r="C1585" i="3"/>
  <c r="E1583" i="3"/>
  <c r="E4873" i="3"/>
  <c r="C4875" i="3"/>
  <c r="C2261" i="3"/>
  <c r="E2259" i="3"/>
  <c r="E1286" i="3"/>
  <c r="C1288" i="3"/>
  <c r="E1288" i="3" s="1"/>
  <c r="C4114" i="3"/>
  <c r="E4112" i="3"/>
  <c r="C3634" i="3" l="1"/>
  <c r="E3632" i="3"/>
  <c r="C3055" i="3"/>
  <c r="E3053" i="3"/>
  <c r="C3276" i="3"/>
  <c r="E3274" i="3"/>
  <c r="E4875" i="3"/>
  <c r="C4877" i="3"/>
  <c r="E4877" i="3" s="1"/>
  <c r="E4114" i="3"/>
  <c r="C4116" i="3"/>
  <c r="C2263" i="3"/>
  <c r="E2261" i="3"/>
  <c r="E1585" i="3"/>
  <c r="C1587" i="3"/>
  <c r="E3276" i="3" l="1"/>
  <c r="C3278" i="3"/>
  <c r="E3055" i="3"/>
  <c r="C3057" i="3"/>
  <c r="C3636" i="3"/>
  <c r="E3634" i="3"/>
  <c r="C4118" i="3"/>
  <c r="E4116" i="3"/>
  <c r="C1589" i="3"/>
  <c r="E1587" i="3"/>
  <c r="E2263" i="3"/>
  <c r="C2265" i="3"/>
  <c r="C3059" i="3" l="1"/>
  <c r="E3059" i="3" s="1"/>
  <c r="E3057" i="3"/>
  <c r="E3636" i="3"/>
  <c r="C3638" i="3"/>
  <c r="C3280" i="3"/>
  <c r="E3278" i="3"/>
  <c r="C2267" i="3"/>
  <c r="E2265" i="3"/>
  <c r="E1589" i="3"/>
  <c r="C1591" i="3"/>
  <c r="E4118" i="3"/>
  <c r="C4120" i="3"/>
  <c r="E3280" i="3" l="1"/>
  <c r="C3282" i="3"/>
  <c r="E3638" i="3"/>
  <c r="C3640" i="3"/>
  <c r="C4122" i="3"/>
  <c r="E4120" i="3"/>
  <c r="E1591" i="3"/>
  <c r="C1593" i="3"/>
  <c r="C2269" i="3"/>
  <c r="E2267" i="3"/>
  <c r="C3284" i="3" l="1"/>
  <c r="E3282" i="3"/>
  <c r="C3642" i="3"/>
  <c r="E3642" i="3" s="1"/>
  <c r="E3640" i="3"/>
  <c r="C2271" i="3"/>
  <c r="E2269" i="3"/>
  <c r="C1595" i="3"/>
  <c r="E1593" i="3"/>
  <c r="C4124" i="3"/>
  <c r="E4122" i="3"/>
  <c r="C3286" i="3" l="1"/>
  <c r="E3284" i="3"/>
  <c r="E4124" i="3"/>
  <c r="C4126" i="3"/>
  <c r="C1597" i="3"/>
  <c r="E1595" i="3"/>
  <c r="E2271" i="3"/>
  <c r="C2273" i="3"/>
  <c r="E3286" i="3" l="1"/>
  <c r="C3288" i="3"/>
  <c r="D2385" i="3"/>
  <c r="C2275" i="3"/>
  <c r="E2273" i="3"/>
  <c r="C4128" i="3"/>
  <c r="E4126" i="3"/>
  <c r="C1599" i="3"/>
  <c r="E1597" i="3"/>
  <c r="D2387" i="3" l="1"/>
  <c r="E2387" i="3" s="1"/>
  <c r="E2385" i="3"/>
  <c r="C3290" i="3"/>
  <c r="E3288" i="3"/>
  <c r="C4130" i="3"/>
  <c r="E4128" i="3"/>
  <c r="C2277" i="3"/>
  <c r="E2275" i="3"/>
  <c r="C1601" i="3"/>
  <c r="E1599" i="3"/>
  <c r="E3290" i="3" l="1"/>
  <c r="C3292" i="3"/>
  <c r="C2279" i="3"/>
  <c r="E2277" i="3"/>
  <c r="C1603" i="3"/>
  <c r="E1601" i="3"/>
  <c r="C4132" i="3"/>
  <c r="E4130" i="3"/>
  <c r="C3294" i="3" l="1"/>
  <c r="E3292" i="3"/>
  <c r="C1605" i="3"/>
  <c r="E1603" i="3"/>
  <c r="E4132" i="3"/>
  <c r="C4134" i="3"/>
  <c r="E2279" i="3"/>
  <c r="C2281" i="3"/>
  <c r="E3294" i="3" l="1"/>
  <c r="C3296" i="3"/>
  <c r="E2281" i="3"/>
  <c r="C2283" i="3"/>
  <c r="C4136" i="3"/>
  <c r="E4134" i="3"/>
  <c r="C1607" i="3"/>
  <c r="E1605" i="3"/>
  <c r="E3296" i="3" l="1"/>
  <c r="C3298" i="3"/>
  <c r="E4136" i="3"/>
  <c r="C4138" i="3"/>
  <c r="E4138" i="3" s="1"/>
  <c r="C2285" i="3"/>
  <c r="E2283" i="3"/>
  <c r="C1609" i="3"/>
  <c r="E1609" i="3" s="1"/>
  <c r="E1607" i="3"/>
  <c r="C3300" i="3" l="1"/>
  <c r="E3298" i="3"/>
  <c r="C2287" i="3"/>
  <c r="E2285" i="3"/>
  <c r="E3300" i="3" l="1"/>
  <c r="C3302" i="3"/>
  <c r="E2287" i="3"/>
  <c r="C2289" i="3"/>
  <c r="E3302" i="3" l="1"/>
  <c r="C3304" i="3"/>
  <c r="E3304" i="3" s="1"/>
  <c r="C2291" i="3"/>
  <c r="E2289" i="3"/>
  <c r="C2293" i="3" l="1"/>
  <c r="E2291" i="3"/>
  <c r="E2293" i="3" l="1"/>
  <c r="C2295" i="3"/>
  <c r="C2297" i="3" l="1"/>
  <c r="E2295" i="3"/>
  <c r="C2299" i="3" l="1"/>
  <c r="E2297" i="3"/>
  <c r="E2299" i="3" l="1"/>
  <c r="C2301" i="3"/>
  <c r="C2303" i="3" l="1"/>
  <c r="E2301" i="3"/>
  <c r="C2305" i="3" l="1"/>
  <c r="E2303" i="3"/>
  <c r="E2305" i="3" l="1"/>
  <c r="C2307" i="3"/>
  <c r="C2309" i="3" l="1"/>
  <c r="E2307" i="3"/>
  <c r="C2311" i="3" l="1"/>
  <c r="E2309" i="3"/>
  <c r="E2311" i="3" l="1"/>
  <c r="C2313" i="3"/>
  <c r="C2315" i="3" l="1"/>
  <c r="E2313" i="3"/>
  <c r="C2317" i="3" l="1"/>
  <c r="E2315" i="3"/>
  <c r="E2317" i="3" l="1"/>
  <c r="C2319" i="3"/>
  <c r="C2321" i="3" l="1"/>
  <c r="E2319" i="3"/>
  <c r="C2323" i="3" l="1"/>
  <c r="E2321" i="3"/>
  <c r="C2325" i="3" l="1"/>
  <c r="E2323" i="3"/>
  <c r="C2327" i="3" l="1"/>
  <c r="E2325" i="3"/>
  <c r="C2329" i="3" l="1"/>
  <c r="E2327" i="3"/>
  <c r="C2331" i="3" l="1"/>
  <c r="E2329" i="3"/>
  <c r="C2333" i="3" l="1"/>
  <c r="E2331" i="3"/>
  <c r="C2335" i="3" l="1"/>
  <c r="E2333" i="3"/>
  <c r="C2337" i="3" l="1"/>
  <c r="E2335" i="3"/>
  <c r="E2337" i="3" l="1"/>
  <c r="C2339" i="3"/>
  <c r="C2341" i="3" l="1"/>
  <c r="E2339" i="3"/>
  <c r="C2343" i="3" l="1"/>
  <c r="E2341" i="3"/>
  <c r="C2345" i="3" l="1"/>
  <c r="E2345" i="3" s="1"/>
  <c r="E2343" i="3"/>
</calcChain>
</file>

<file path=xl/sharedStrings.xml><?xml version="1.0" encoding="utf-8"?>
<sst xmlns="http://schemas.openxmlformats.org/spreadsheetml/2006/main" count="14927" uniqueCount="5798">
  <si>
    <t>OBRA:</t>
  </si>
  <si>
    <t>RESPONSÁVEL TÉCNICO:</t>
  </si>
  <si>
    <t>LOCAL:</t>
  </si>
  <si>
    <t>Via Existente, S/N°, bairro do Piador, Caetés/PE, CEP:55360-000</t>
  </si>
  <si>
    <t>BDI SERVIÇO:</t>
  </si>
  <si>
    <t>DATA BASE:</t>
  </si>
  <si>
    <t>PRAZO DE EXECUÇÃO:</t>
  </si>
  <si>
    <t>ENCARGOS SOCIAIS</t>
  </si>
  <si>
    <t xml:space="preserve"> 1 </t>
  </si>
  <si>
    <t>ELABORAÇÃO DE PROJETOS</t>
  </si>
  <si>
    <t xml:space="preserve"> 2 </t>
  </si>
  <si>
    <t>ADMINISTRAÇÃO LOCAL</t>
  </si>
  <si>
    <t>INSTALAÇÕES PROVISÓRIAS</t>
  </si>
  <si>
    <t xml:space="preserve"> 4 </t>
  </si>
  <si>
    <t>TERRAPLANAGEM</t>
  </si>
  <si>
    <t>PRÉDIO PRINCIPAL</t>
  </si>
  <si>
    <t>PRÉDIO DE REFEITÓRIO</t>
  </si>
  <si>
    <t>PRÉDIO LABORATÓRIO</t>
  </si>
  <si>
    <t>CASTELO D'AGUA</t>
  </si>
  <si>
    <t>GUARITA / CASAS DE BOMBAS / SUBESTAÇÃO / LIXEIRA / GLP</t>
  </si>
  <si>
    <t>QUADRA</t>
  </si>
  <si>
    <t xml:space="preserve"> 11 </t>
  </si>
  <si>
    <t>SERVIÇOS COMPLEMENTARES</t>
  </si>
  <si>
    <t>ANFITEATRO</t>
  </si>
  <si>
    <t>PASSARELAS</t>
  </si>
  <si>
    <t xml:space="preserve"> 14 </t>
  </si>
  <si>
    <t>RAMPAS</t>
  </si>
  <si>
    <t xml:space="preserve"> 15 </t>
  </si>
  <si>
    <t>LIMPEZA FINAL DE OBRA</t>
  </si>
  <si>
    <t>DIVERSOS</t>
  </si>
  <si>
    <t>ENCARGOS SOCIAIS:</t>
  </si>
  <si>
    <t>UND</t>
  </si>
  <si>
    <t xml:space="preserve"> 1.1 </t>
  </si>
  <si>
    <t xml:space="preserve"> 00005811 </t>
  </si>
  <si>
    <t>Próprio</t>
  </si>
  <si>
    <t>ELABORAÇÃO DE PROJETOS EXECUTIVOS</t>
  </si>
  <si>
    <t>UN</t>
  </si>
  <si>
    <t xml:space="preserve"> 2.1 </t>
  </si>
  <si>
    <t xml:space="preserve"> 00005339 </t>
  </si>
  <si>
    <t>ADMINISTRAÇÃO LOCAL - ETE</t>
  </si>
  <si>
    <t xml:space="preserve"> 3 </t>
  </si>
  <si>
    <t xml:space="preserve"> 3.1 </t>
  </si>
  <si>
    <t xml:space="preserve"> 103689 </t>
  </si>
  <si>
    <t>SINAPI</t>
  </si>
  <si>
    <t>FORNECIMENTO E INSTALAÇÃO DE PLACA DE OBRA COM CHAPA GALVANIZADA E ESTRUTURA DE MADEIRA. AF_03/2022_PS</t>
  </si>
  <si>
    <t>m²</t>
  </si>
  <si>
    <t xml:space="preserve"> 3.2 </t>
  </si>
  <si>
    <t xml:space="preserve"> 00000344 </t>
  </si>
  <si>
    <t>LIGACAO PROVISORIA DE AGUA -PARA MEDICAO DE AGUA - ENTRADA PRINCIPAL, EM PVC SOLDÁVEL DN 25 (¾")   FORNECIMENTO E INSTALAÇÃO (INCLUSIVE HIDRÔMETRO)</t>
  </si>
  <si>
    <t xml:space="preserve"> 3.3 </t>
  </si>
  <si>
    <t xml:space="preserve"> 00000345 </t>
  </si>
  <si>
    <t>INSTALACAO/LIGACAO PROVISORIA ELETRICA BAIXA TENSAO P/CANTEIRO DE OBRA</t>
  </si>
  <si>
    <t xml:space="preserve"> 3.5 </t>
  </si>
  <si>
    <t xml:space="preserve"> 00000962 </t>
  </si>
  <si>
    <t>EXECUÇÃO DE ALMOXARIFADO EM CANTEIRO DE OBRA EM CHAPA DE MADEIRA COMPENSADA, INCLUSO PRATELEIRAS.</t>
  </si>
  <si>
    <t xml:space="preserve"> 3.6 </t>
  </si>
  <si>
    <t xml:space="preserve"> 00010775 </t>
  </si>
  <si>
    <t>LOCACAO DE CONTAINER 2,30 X 6,00 M, ALT. 2,50 M, COM 1 SANITARIO, PARA ESCRITORIO, COMPLETO, SEM DIVISORIAS INTERNAS (NAO INCLUI MOBILIZACAO/DESMOBILIZACAO)</t>
  </si>
  <si>
    <t>MES</t>
  </si>
  <si>
    <t xml:space="preserve"> 3.7 </t>
  </si>
  <si>
    <t xml:space="preserve"> 3.8 </t>
  </si>
  <si>
    <t xml:space="preserve"> 00000362 </t>
  </si>
  <si>
    <t>EXECUÇÃO DE REFEITÓRIO EM CANTEIRO DE OBRA EM CHAPA DE MADEIRA COMPENSADA, NÃO INCLUSO MOBILIÁRIO E EQUIPAMENTOS.</t>
  </si>
  <si>
    <t xml:space="preserve"> 3.9 </t>
  </si>
  <si>
    <t xml:space="preserve"> 00000347 </t>
  </si>
  <si>
    <t>EXECUÇÃO DE CENTRAL DE ARMADURA EM CANTEIRO DE OBRA, NÃO INCLUSO MOBILIÁRIO E EQUIPAMENTOS</t>
  </si>
  <si>
    <t xml:space="preserve"> 3.10 </t>
  </si>
  <si>
    <t xml:space="preserve"> 00000355 </t>
  </si>
  <si>
    <t>EXECUÇÃO DE CENTRAL DE FÔRMAS, PRODUÇÃO DE ARGAMASSA OU CONCRETO EM CANTEIRO DE OBRA, NÃO INCLUSO MOBILIÁRIO E  EQUIPAMENTOS</t>
  </si>
  <si>
    <t xml:space="preserve"> 3.11 </t>
  </si>
  <si>
    <t xml:space="preserve"> 00002792 </t>
  </si>
  <si>
    <t>EXECUÇÃO DE GUARITA EM CANTEIRO DE OBRA EM CHAPA DE MADEIRA COMPENSADA, NÃO INCLUSO MOBILIÁRIO. AF_04/2016</t>
  </si>
  <si>
    <t xml:space="preserve"> 3.12 </t>
  </si>
  <si>
    <t xml:space="preserve"> 3.13 </t>
  </si>
  <si>
    <t xml:space="preserve"> 5 </t>
  </si>
  <si>
    <t xml:space="preserve"> 5.2 </t>
  </si>
  <si>
    <t>SUPERESTRUTURA</t>
  </si>
  <si>
    <t xml:space="preserve"> 5.2.1 </t>
  </si>
  <si>
    <t xml:space="preserve"> 92759 </t>
  </si>
  <si>
    <t>ARMAÇÃO DE PILAR OU VIGA DE ESTRUTURA CONVENCIONAL DE CONCRETO ARMADO UTILIZANDO AÇO CA-60 DE 5,0 MM - MONTAGEM. AF_06/2022</t>
  </si>
  <si>
    <t>KG</t>
  </si>
  <si>
    <t xml:space="preserve"> 5.2.2 </t>
  </si>
  <si>
    <t xml:space="preserve"> 104110 </t>
  </si>
  <si>
    <t>ARMAÇÃO DE PILAR OU VIGA DE ESTRUTURA DE CONCRETO ARMADO EMBUTIDA EM ALVENARIA DE VEDAÇÃO UTILIZANDO AÇO CA-50 DE 6,3 MM - MONTAGEM. AF_06/2022</t>
  </si>
  <si>
    <t xml:space="preserve"> 5.2.3 </t>
  </si>
  <si>
    <t xml:space="preserve"> 92761 </t>
  </si>
  <si>
    <t>ARMAÇÃO DE PILAR OU VIGA DE ESTRUTURA CONVENCIONAL DE CONCRETO ARMADO UTILIZANDO AÇO CA-50 DE 8,0 MM - MONTAGEM. AF_06/2022</t>
  </si>
  <si>
    <t xml:space="preserve"> 5.2.4 </t>
  </si>
  <si>
    <t xml:space="preserve"> 92762 </t>
  </si>
  <si>
    <t>ARMAÇÃO DE PILAR OU VIGA DE ESTRUTURA CONVENCIONAL DE CONCRETO ARMADO UTILIZANDO AÇO CA-50 DE 10,0 MM - MONTAGEM. AF_06/2022</t>
  </si>
  <si>
    <t xml:space="preserve"> 5.2.5 </t>
  </si>
  <si>
    <t xml:space="preserve"> 92763 </t>
  </si>
  <si>
    <t>ARMAÇÃO DE PILAR OU VIGA DE ESTRUTURA CONVENCIONAL DE CONCRETO ARMADO UTILIZANDO AÇO CA-50 DE 12,5 MM - MONTAGEM. AF_06/2022</t>
  </si>
  <si>
    <t xml:space="preserve"> 5.2.6 </t>
  </si>
  <si>
    <t xml:space="preserve"> 92764 </t>
  </si>
  <si>
    <t>ARMAÇÃO DE PILAR OU VIGA DE ESTRUTURA CONVENCIONAL DE CONCRETO ARMADO UTILIZANDO AÇO CA-50 DE 16,0 MM - MONTAGEM. AF_06/2022</t>
  </si>
  <si>
    <t xml:space="preserve"> 5.2.7 </t>
  </si>
  <si>
    <t xml:space="preserve"> 92765 </t>
  </si>
  <si>
    <t>ARMAÇÃO DE PILAR OU VIGA DE ESTRUTURA CONVENCIONAL DE CONCRETO ARMADO UTILIZANDO AÇO CA-50 DE 20,0 MM - MONTAGEM. AF_06/2022</t>
  </si>
  <si>
    <t xml:space="preserve"> 5.2.8 </t>
  </si>
  <si>
    <t xml:space="preserve"> 92443 </t>
  </si>
  <si>
    <t>MONTAGEM E DESMONTAGEM DE FÔRMA DE PILARES RETANGULARES E ESTRUTURAS SIMILARES, PÉ-DIREITO SIMPLES, EM CHAPA DE MADEIRA COMPENSADA PLASTIFICADA, 18 UTILIZAÇÕES. AF_09/2020</t>
  </si>
  <si>
    <t xml:space="preserve"> 5.2.9 </t>
  </si>
  <si>
    <t xml:space="preserve"> 92479 </t>
  </si>
  <si>
    <t>MONTAGEM E DESMONTAGEM DE FÔRMA DE VIGA, ESCORAMENTO COM GARFO DE MADEIRA, PÉ-DIREITO SIMPLES, EM CHAPA DE MADEIRA PLASTIFICADA, 18 UTILIZAÇÕES. AF_09/2020</t>
  </si>
  <si>
    <t xml:space="preserve"> 5.2.10 </t>
  </si>
  <si>
    <t xml:space="preserve"> 92769 </t>
  </si>
  <si>
    <t>ARMAÇÃO DE LAJE DE ESTRUTURA CONVENCIONAL DE CONCRETO ARMADO UTILIZANDO AÇO CA-50 DE 6,3 MM - MONTAGEM. AF_06/2022</t>
  </si>
  <si>
    <t xml:space="preserve"> 5.2.11 </t>
  </si>
  <si>
    <t xml:space="preserve"> 92770 </t>
  </si>
  <si>
    <t>ARMAÇÃO DE LAJE DE ESTRUTURA CONVENCIONAL DE CONCRETO ARMADO UTILIZANDO AÇO CA-50 DE 8,0 MM - MONTAGEM. AF_06/2022</t>
  </si>
  <si>
    <t xml:space="preserve"> 5.2.12 </t>
  </si>
  <si>
    <t xml:space="preserve"> 92771 </t>
  </si>
  <si>
    <t>ARMAÇÃO DE LAJE DE ESTRUTURA CONVENCIONAL DE CONCRETO ARMADO UTILIZANDO AÇO CA-50 DE 10,0 MM - MONTAGEM. AF_06/2022</t>
  </si>
  <si>
    <t xml:space="preserve"> 5.2.13 </t>
  </si>
  <si>
    <t xml:space="preserve"> 92772 </t>
  </si>
  <si>
    <t>ARMAÇÃO DE LAJE DE ESTRUTURA CONVENCIONAL DE CONCRETO ARMADO UTILIZANDO AÇO CA-50 DE 12,5 MM - MONTAGEM. AF_06/2022</t>
  </si>
  <si>
    <t xml:space="preserve"> 5.2.14 </t>
  </si>
  <si>
    <t xml:space="preserve"> 92768 </t>
  </si>
  <si>
    <t>ARMAÇÃO DE LAJE DE ESTRUTURA CONVENCIONAL DE CONCRETO ARMADO UTILIZANDO AÇO CA-60 DE 5,0 MM - MONTAGEM. AF_06/2022</t>
  </si>
  <si>
    <t xml:space="preserve"> 5.2.15 </t>
  </si>
  <si>
    <t xml:space="preserve"> 92538 </t>
  </si>
  <si>
    <t>MONTAGEM E DESMONTAGEM DE FÔRMA DE LAJE MACIÇA, PÉ-DIREITO SIMPLES, EM CHAPA DE MADEIRA COMPENSADA PLASTIFICADA, 18 UTILIZAÇÕES. AF_09/2020</t>
  </si>
  <si>
    <t xml:space="preserve"> 5.2.16 </t>
  </si>
  <si>
    <t xml:space="preserve"> 00000604 </t>
  </si>
  <si>
    <t>CONCRETAGEM DE PILARES, VIGAS E LAJES (PRE MOLDADAS OU MACIÇA) FCK = 30 MPA, COM USO DE BOMBA EM EDIFICAÇÃO - LANÇAMENTO, ADENSAMENTO E ACABAMENTO.</t>
  </si>
  <si>
    <t>m³</t>
  </si>
  <si>
    <t xml:space="preserve"> 5.2.17 </t>
  </si>
  <si>
    <t xml:space="preserve"> 00001501 </t>
  </si>
  <si>
    <t>ESTRUTURA TRELIÇADA DE COBERTURA, TIPO FINK, COM LIGAÇÕES SOLDADAS, INCLUSOS PERFIS METÁLICOS, CHAPAS METÁLICAS, MÃO DE OBRA E TRANSPORTE COM GUINDASTE - FORNECIMENTO E INSTALAÇÃO. AF_01/2020_PSA</t>
  </si>
  <si>
    <t xml:space="preserve"> 5.2.18 </t>
  </si>
  <si>
    <t xml:space="preserve"> 92536 </t>
  </si>
  <si>
    <t>MONTAGEM E DESMONTAGEM DE FÔRMA DE LAJE MACIÇA, PÉ-DIREITO DUPLO, EM CHAPA DE MADEIRA COMPENSADA PLASTIFICADA, 18 UTILIZAÇÕES. AF_09/2020</t>
  </si>
  <si>
    <t xml:space="preserve"> 5.3 </t>
  </si>
  <si>
    <t>VEDAÇÕES</t>
  </si>
  <si>
    <t xml:space="preserve"> 5.3.1 </t>
  </si>
  <si>
    <t xml:space="preserve"> 103356 </t>
  </si>
  <si>
    <t>ALVENARIA DE VEDAÇÃO DE BLOCOS CERÂMICOS FURADOS NA HORIZONTAL DE 9X19X29 CM (ESPESSURA 9 CM) E ARGAMASSA DE ASSENTAMENTO COM PREPARO EM BETONEIRA. AF_12/2021</t>
  </si>
  <si>
    <t xml:space="preserve"> 5.3.2 </t>
  </si>
  <si>
    <t xml:space="preserve"> 102253 </t>
  </si>
  <si>
    <t>DIVISORIA SANITÁRIA, TIPO CABINE, EM GRANITO CINZA POLIDO, ESP = 3CM, ASSENTADO COM ARGAMASSA COLANTE AC III-E, EXCLUSIVE FERRAGENS. AF_01/2021</t>
  </si>
  <si>
    <t xml:space="preserve"> 5.3.3 </t>
  </si>
  <si>
    <t xml:space="preserve"> 105022 </t>
  </si>
  <si>
    <t>VERGA PRÉ-MOLDADA COM ATÉ 1,5 M DE VÃO, ESPESSURA DE *10* CM. AF_03/2024</t>
  </si>
  <si>
    <t>M</t>
  </si>
  <si>
    <t xml:space="preserve"> 5.3.4 </t>
  </si>
  <si>
    <t xml:space="preserve"> 105026 </t>
  </si>
  <si>
    <t>VERGA MOLDADA IN LOCO COM UTILIZAÇÃO DE BLOCOS CANALETA, ESPESSURA DE *10* CM. AF_03/2024</t>
  </si>
  <si>
    <t xml:space="preserve"> 5.3.5 </t>
  </si>
  <si>
    <t xml:space="preserve"> 105028 </t>
  </si>
  <si>
    <t>CONTRAVERGA PRÉ-MOLDADA, ESPESSURA DE *10* CM. AF_03/2024</t>
  </si>
  <si>
    <t xml:space="preserve"> 5.3.6 </t>
  </si>
  <si>
    <t xml:space="preserve"> 105027 </t>
  </si>
  <si>
    <t>CONTRAVERGA PRÉ-MOLDADA, ESPESSURA DE *15* CM. AF_03/2024</t>
  </si>
  <si>
    <t xml:space="preserve"> 5.3.7 </t>
  </si>
  <si>
    <t xml:space="preserve"> 101966 </t>
  </si>
  <si>
    <t>CHAPIM SOBRE MUROS LINEARES, EM GRANITO OU MÁRMORE, L = 25 CM, ASSENTADO COM ARGAMASSA 1:6 COM ADITIVO. AF_11/2020</t>
  </si>
  <si>
    <t xml:space="preserve"> 5.4 </t>
  </si>
  <si>
    <t>COBERTA</t>
  </si>
  <si>
    <t xml:space="preserve"> 5.4.1 </t>
  </si>
  <si>
    <t xml:space="preserve"> 94228 </t>
  </si>
  <si>
    <t>CALHA EM CHAPA DE AÇO GALVANIZADO NÚMERO 24, DESENVOLVIMENTO DE 50 CM, INCLUSO TRANSPORTE VERTICAL. AF_07/2019</t>
  </si>
  <si>
    <t xml:space="preserve"> 5.4.2 </t>
  </si>
  <si>
    <t xml:space="preserve"> 94227 </t>
  </si>
  <si>
    <t>CALHA EM CHAPA DE AÇO GALVANIZADO NÚMERO 24, DESENVOLVIMENTO DE 33 CM, INCLUSO TRANSPORTE VERTICAL. AF_07/2019</t>
  </si>
  <si>
    <t xml:space="preserve"> 5.4.3 </t>
  </si>
  <si>
    <t xml:space="preserve"> 94229 </t>
  </si>
  <si>
    <t>CALHA EM CHAPA DE AÇO GALVANIZADO NÚMERO 24, DESENVOLVIMENTO DE 100 CM, INCLUSO TRANSPORTE VERTICAL. AF_07/2019</t>
  </si>
  <si>
    <t xml:space="preserve"> 5.4.4 </t>
  </si>
  <si>
    <t xml:space="preserve"> 71623 </t>
  </si>
  <si>
    <t>CHAPIM DE CONCRETO APARENTE COM ACABAMENTO DESEMPENADO, FORMA DE COMPENSADO PLASTIFICADO (MADEIRIT) DE 14 X 10 CM, FUNDIDO NO LOCAL.</t>
  </si>
  <si>
    <t xml:space="preserve"> 5.4.5 </t>
  </si>
  <si>
    <t xml:space="preserve"> 00002236 </t>
  </si>
  <si>
    <t>CUMEEIRA ONDULADA DE ALUMÍNIO - FORNECIMENTO E INSTALAÇÃO</t>
  </si>
  <si>
    <t xml:space="preserve"> 5.4.6 </t>
  </si>
  <si>
    <t xml:space="preserve"> 00002240 </t>
  </si>
  <si>
    <t>TRAMA DE MADEIRA COMPOSTA POR CAIBRO PARA TELHADOS DE ATÉ 2 ÁGUAS PARA TELHA ONDULADA DE FIBROCIMENTO, METÁLICA, PLÁSTICA OU TERMOACÚSTICA, INCLUSO TRANSPORTE VERTICAL.</t>
  </si>
  <si>
    <t xml:space="preserve"> 5.4.7 </t>
  </si>
  <si>
    <t xml:space="preserve"> 92580 </t>
  </si>
  <si>
    <t>TRAMA DE AÇO COMPOSTA POR TERÇAS PARA TELHADOS DE ATÉ 2 ÁGUAS PARA TELHA ONDULADA DE FIBROCIMENTO, METÁLICA, PLÁSTICA OU TERMOACÚSTICA, INCLUSO TRANSPORTE VERTICAL. AF_07/2019</t>
  </si>
  <si>
    <t xml:space="preserve"> 5.4.8 </t>
  </si>
  <si>
    <t xml:space="preserve"> 94210 </t>
  </si>
  <si>
    <t>TELHAMENTO COM TELHA ONDULADA DE FIBROCIMENTO E = 6 MM, COM RECOBRIMENTO LATERAL DE 1 1/4 DE ONDA PARA TELHADO COM INCLINAÇÃO MÁXIMA DE 10°, COM ATÉ 2 ÁGUAS, INCLUSO IÇAMENTO. AF_07/2019</t>
  </si>
  <si>
    <t xml:space="preserve"> 5.4.9 </t>
  </si>
  <si>
    <t xml:space="preserve"> 94213 </t>
  </si>
  <si>
    <t>TELHAMENTO COM TELHA DE AÇO/ALUMÍNIO E = 0,5 MM, COM ATÉ 2 ÁGUAS, INCLUSO IÇAMENTO. AF_07/2019</t>
  </si>
  <si>
    <t xml:space="preserve"> 5.4.10 </t>
  </si>
  <si>
    <t xml:space="preserve"> 100327 </t>
  </si>
  <si>
    <t>RUFO EXTERNO/INTERNO EM CHAPA DE AÇO GALVANIZADO NÚMERO 26, CORTE DE 33 CM, INCLUSO IÇAMENTO. AF_07/2019</t>
  </si>
  <si>
    <t xml:space="preserve"> 5.5 </t>
  </si>
  <si>
    <t>IMPERMEABILIZAÇÃO</t>
  </si>
  <si>
    <t xml:space="preserve"> 5.5.1 </t>
  </si>
  <si>
    <t xml:space="preserve"> 98562 </t>
  </si>
  <si>
    <t>IMPERMEABILIZAÇÃO DE SUPERFÍCIE COM ARGAMASSA DE CIMENTO E AREIA, COM ADITIVO IMPERMEABILIZANTE, E = 1,5CM. AF_09/2023</t>
  </si>
  <si>
    <t xml:space="preserve"> 5.5.2 </t>
  </si>
  <si>
    <t xml:space="preserve"> 98546 </t>
  </si>
  <si>
    <t>IMPERMEABILIZAÇÃO DE SUPERFÍCIE COM MANTA ASFÁLTICA, UMA CAMADA, INCLUSIVE APLICAÇÃO DE PRIMER ASFÁLTICO, E=4MM. AF_09/2023</t>
  </si>
  <si>
    <t xml:space="preserve"> 5.5.3 </t>
  </si>
  <si>
    <t xml:space="preserve"> 98563 </t>
  </si>
  <si>
    <t>PROTEÇÃO MECÂNICA DE SUPERFÍCIE HORIZONTAL COM ARGAMASSA DE CIMENTO E AREIA, TRAÇO 1:3, E=2CM. AF_09/2023</t>
  </si>
  <si>
    <t xml:space="preserve"> 5.5.4 </t>
  </si>
  <si>
    <t xml:space="preserve"> 98557 </t>
  </si>
  <si>
    <t>IMPERMEABILIZAÇÃO DE SUPERFÍCIE COM EMULSÃO ASFÁLTICA, 2 DEMÃOS. AF_09/2023</t>
  </si>
  <si>
    <t xml:space="preserve"> 5.6 </t>
  </si>
  <si>
    <t>PISOS</t>
  </si>
  <si>
    <t xml:space="preserve"> 5.6.1 </t>
  </si>
  <si>
    <t xml:space="preserve"> 97084 </t>
  </si>
  <si>
    <t>COMPACTAÇÃO MECÂNICA DE SOLO PARA EXECUÇÃO DE RADIER, PISO DE CONCRETO OU LAJE SOBRE SOLO, COM COMPACTADOR DE SOLOS TIPO PLACA VIBRATÓRIA. AF_09/2021</t>
  </si>
  <si>
    <t xml:space="preserve"> 5.6.2 </t>
  </si>
  <si>
    <t xml:space="preserve"> 97087 </t>
  </si>
  <si>
    <t>CAMADA SEPARADORA PARA EXECUÇÃO DE RADIER, PISO DE CONCRETO OU LAJE SOBRE SOLO, EM LONA PLÁSTICA. AF_09/2021</t>
  </si>
  <si>
    <t xml:space="preserve"> 5.6.3 </t>
  </si>
  <si>
    <t xml:space="preserve"> 95241 </t>
  </si>
  <si>
    <t>LASTRO DE CONCRETO MAGRO, APLICADO EM PISOS, LAJES SOBRE SOLO OU RADIERS, ESPESSURA DE 5 CM. AF_01/2024</t>
  </si>
  <si>
    <t xml:space="preserve"> 5.6.4 </t>
  </si>
  <si>
    <t xml:space="preserve"> 87630 </t>
  </si>
  <si>
    <t>CONTRAPISO EM ARGAMASSA TRAÇO 1:4 (CIMENTO E AREIA), PREPARO MECÂNICO COM BETONEIRA 400 L, APLICADO EM ÁREAS SECAS SOBRE LAJE, ADERIDO, ACABAMENTO NÃO REFORÇADO, ESPESSURA 3CM. AF_07/2021</t>
  </si>
  <si>
    <t xml:space="preserve"> 5.6.5 </t>
  </si>
  <si>
    <t xml:space="preserve"> 87745 </t>
  </si>
  <si>
    <t>CONTRAPISO EM ARGAMASSA TRAÇO 1:4 (CIMENTO E AREIA), PREPARO MECÂNICO COM BETONEIRA 400 L, APLICADO EM ÁREAS MOLHADAS SOBRE LAJE, ADERIDO, ACABAMENTO NÃO REFORÇADO, ESPESSURA 3CM. AF_07/2021</t>
  </si>
  <si>
    <t xml:space="preserve"> 5.6.6 </t>
  </si>
  <si>
    <t xml:space="preserve"> 87255 </t>
  </si>
  <si>
    <t>REVESTIMENTO CERÂMICO PARA PISO COM PLACAS TIPO ESMALTADA DE DIMENSÕES 60X60 CM APLICADA EM AMBIENTES DE ÁREA MENOR QUE 5 M2. AF_02/2023_PE</t>
  </si>
  <si>
    <t xml:space="preserve"> 5.6.7 </t>
  </si>
  <si>
    <t xml:space="preserve"> 87256 </t>
  </si>
  <si>
    <t>REVESTIMENTO CERÂMICO PARA PISO COM PLACAS TIPO ESMALTADA DE DIMENSÕES 60X60 CM APLICADA EM AMBIENTES DE ÁREA ENTRE 5 M2 E 10 M2. AF_02/2023_PE</t>
  </si>
  <si>
    <t xml:space="preserve"> 5.6.8 </t>
  </si>
  <si>
    <t xml:space="preserve"> 87251 </t>
  </si>
  <si>
    <t>REVESTIMENTO CERÂMICO PARA PISO COM PLACAS TIPO ESMALTADA DE DIMENSÕES 45X45 CM APLICADA EM AMBIENTES DE ÁREA MAIOR QUE 10 M2. AF_02/2023_PE</t>
  </si>
  <si>
    <t xml:space="preserve"> 5.6.9 </t>
  </si>
  <si>
    <t xml:space="preserve"> 104162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</si>
  <si>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</si>
  <si>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5.6.10 </t>
  </si>
  <si>
    <t xml:space="preserve"> 101094 </t>
  </si>
  <si>
    <t>PISO PODOTÁTIL DE ALERTA OU DIRECIONAL, DE BORRACHA, ASSENTADO SOBRE ARGAMASSA. AF_05/2020</t>
  </si>
  <si>
    <t xml:space="preserve"> 5.6.11 </t>
  </si>
  <si>
    <t xml:space="preserve"> 98689 </t>
  </si>
  <si>
    <t>SOLEIRA EM GRANITO, LARGURA 15 CM, ESPESSURA 2,0 CM. AF_09/2020</t>
  </si>
  <si>
    <t xml:space="preserve"> 5.6.12 </t>
  </si>
  <si>
    <t xml:space="preserve"> 101749 </t>
  </si>
  <si>
    <t>PISO CIMENTADO, TRAÇO 1:3 (CIMENTO E AREIA), ACABAMENTO LISO, ESPESSURA 4,0 CM, PREPARO MECÂNICO DA ARGAMASSA. AF_09/2020</t>
  </si>
  <si>
    <t xml:space="preserve"> 5.6.13 </t>
  </si>
  <si>
    <t xml:space="preserve"> 104658 </t>
  </si>
  <si>
    <t>PISO PODOTÁTIL DE ALERTA OU DIRECIONAL, DE CONCRETO, ASSENTADO SOBRE ARGAMASSA. AF_03/2024</t>
  </si>
  <si>
    <t xml:space="preserve"> 5.6.14 </t>
  </si>
  <si>
    <t xml:space="preserve"> 98671 </t>
  </si>
  <si>
    <t>PISO EM GRANITO APLICADO EM AMBIENTES INTERNOS. AF_09/2020</t>
  </si>
  <si>
    <t xml:space="preserve"> 5.6.15 </t>
  </si>
  <si>
    <t xml:space="preserve"> 101727 </t>
  </si>
  <si>
    <t>PISO VINÍLICO SEMI-FLEXÍVEL EM PLACAS, PADRÃO LISO, ESPESSURA 3,2 MM, FIXADO COM COLA. AF_09/2020</t>
  </si>
  <si>
    <t xml:space="preserve"> 5.6.16 </t>
  </si>
  <si>
    <t xml:space="preserve"> 98687 </t>
  </si>
  <si>
    <t>RODAPÉ VINÍLICO FLEXÍVEL EM MANTA, ALTURA 10 CM. AF_09/2020</t>
  </si>
  <si>
    <t xml:space="preserve"> 5.6.17 </t>
  </si>
  <si>
    <t xml:space="preserve"> 98688 </t>
  </si>
  <si>
    <t>RODAPÉ EM POLIESTIRENO, ALTURA 5 CM. AF_09/2020</t>
  </si>
  <si>
    <t xml:space="preserve"> 5.7 </t>
  </si>
  <si>
    <t>REVESTIMENTOS</t>
  </si>
  <si>
    <t xml:space="preserve"> 5.7.1 </t>
  </si>
  <si>
    <t xml:space="preserve"> 87879 </t>
  </si>
  <si>
    <t>CHAPISCO APLICADO EM ALVENARIAS E ESTRUTURAS DE CONCRETO INTERNAS, COM COLHER DE PEDREIRO. ARGAMASSA TRAÇO 1:3 COM PREPARO EM BETONEIRA 400L. AF_10/2022</t>
  </si>
  <si>
    <t xml:space="preserve"> 5.7.2 </t>
  </si>
  <si>
    <t xml:space="preserve"> 87905 </t>
  </si>
  <si>
    <t>CHAPISCO APLICADO EM ALVENARIA (COM PRESENÇA DE VÃOS) E ESTRUTURAS DE CONCRETO DE FACHADA, COM COLHER DE PEDREIRO. ARGAMASSA TRAÇO 1:3 COM PREPARO EM BETONEIRA 400L. AF_10/2022</t>
  </si>
  <si>
    <t xml:space="preserve"> 5.7.3 </t>
  </si>
  <si>
    <t xml:space="preserve"> 87829 </t>
  </si>
  <si>
    <t>EMBOÇO OU MASSA ÚNICA EM ARGAMASSA TRAÇO 1:2:8, PREPARO MECÂNICO COM BETONEIRA 400 L, APLICADA MANUALMENTE NAS PAREDES INTERNAS DA SACADA, ESPESSURA DE 35 MM, SEM USO DE TELA METÁLICA DE REFORÇO CONTRA FISSURAÇÃO. AF_08/2022</t>
  </si>
  <si>
    <t xml:space="preserve"> 5.7.4 </t>
  </si>
  <si>
    <t xml:space="preserve"> 87779 </t>
  </si>
  <si>
    <t>EMBOÇO OU MASSA ÚNICA EM ARGAMASSA TRAÇO 1:2:8, PREPARO MECÂNICO COM BETONEIRA 400 L, APLICADA MANUALMENTE EM PANOS DE FACHADA COM PRESENÇA DE VÃOS, ESPESSURA DE 35 MM. AF_08/2022</t>
  </si>
  <si>
    <t xml:space="preserve"> 5.7.5 </t>
  </si>
  <si>
    <t xml:space="preserve"> 99195 </t>
  </si>
  <si>
    <t>REVESTIMENTO CERÂMICO PARA PAREDES INTERNAS COM PLACAS TIPO ESMALTADA PADRÃO POPULAR DE DIMENSÕES 20X20 CM, ARGAMASSA TIPO AC III, APLICADAS NA ALTURA INTEIRA DAS PAREDES.  AF_02/2023_PE</t>
  </si>
  <si>
    <t xml:space="preserve"> 5.7.6 </t>
  </si>
  <si>
    <t xml:space="preserve"> 00002249 </t>
  </si>
  <si>
    <t>REVESTIMENTO CERÂMICO PARA PAREDES EXTERNAS EM CERAMICA 10 X 10 CM</t>
  </si>
  <si>
    <t>M²</t>
  </si>
  <si>
    <t xml:space="preserve"> 5.7.7 </t>
  </si>
  <si>
    <t xml:space="preserve"> 00001419 </t>
  </si>
  <si>
    <t>FORNECIMENTO E INSTALAÇÃO DE BRISE METALICO COM ESTRUTURA E MONTAGEM</t>
  </si>
  <si>
    <t xml:space="preserve"> 5.7.8 </t>
  </si>
  <si>
    <t xml:space="preserve"> 00002437 </t>
  </si>
  <si>
    <t>PAINEL DE ACM - FORNECIMENTO E INSTALAÇÃO</t>
  </si>
  <si>
    <t xml:space="preserve"> 5.7.9 </t>
  </si>
  <si>
    <t xml:space="preserve"> 00003417 </t>
  </si>
  <si>
    <t>REBOCO ACÚSTICO EM ARGAMASSA PRONTA, PREPARO MANUAL,  ESPESSURA 5CM.</t>
  </si>
  <si>
    <t xml:space="preserve"> 5.7.10 </t>
  </si>
  <si>
    <t xml:space="preserve"> 00003418 </t>
  </si>
  <si>
    <t>REVESTIMENTO EM PLACAS DE GESSO.</t>
  </si>
  <si>
    <t xml:space="preserve"> 5.7.11 </t>
  </si>
  <si>
    <t xml:space="preserve"> 00005500 </t>
  </si>
  <si>
    <t>MONTAGEM E DESMONTAGEM DE ANDAIME METÁLICO TIPO FACHADEIRO</t>
  </si>
  <si>
    <t>M2XMES</t>
  </si>
  <si>
    <t xml:space="preserve"> 5.8 </t>
  </si>
  <si>
    <t>FORRO</t>
  </si>
  <si>
    <t xml:space="preserve"> 5.8.1 </t>
  </si>
  <si>
    <t xml:space="preserve"> 96113 </t>
  </si>
  <si>
    <t>FORRO EM PLACAS DE GESSO, PARA AMBIENTES COMERCIAIS. AF_08/2023_PS</t>
  </si>
  <si>
    <t xml:space="preserve"> 5.8.2 </t>
  </si>
  <si>
    <t xml:space="preserve"> 104757 </t>
  </si>
  <si>
    <t>FORRO EM FIBRA MINERAL, PARA AMBIENTES COMERCIAIS, INCLUSIVE ESTRUTURA DE FIXAÇÃO. AF_08/2023</t>
  </si>
  <si>
    <t xml:space="preserve"> 5.9 </t>
  </si>
  <si>
    <t>ESQUADRIAS</t>
  </si>
  <si>
    <t xml:space="preserve"> 5.9.1 </t>
  </si>
  <si>
    <t xml:space="preserve"> 91315 </t>
  </si>
  <si>
    <t>KIT DE PORTA DE MADEIRA PARA PINTURA, SEMI-OCA (LEVE OU MÉDIA), PADRÃO POPULAR, 90X210CM, ESPESSURA DE 3,5CM, ITENS INCLUSOS: DOBRADIÇAS, MONTAGEM E INSTALAÇÃO DO BATENTE, FECHADURA COM EXECUÇÃO DO FURO - FORNECIMENTO E INSTALAÇÃO. AF_12/2019</t>
  </si>
  <si>
    <t xml:space="preserve"> 5.9.2 </t>
  </si>
  <si>
    <t xml:space="preserve"> 94805 </t>
  </si>
  <si>
    <t>PORTA DE ALUMÍNIO DE ABRIR PARA VIDRO SEM GUARNIÇÃO, 87X210CM, FIXAÇÃO COM PARAFUSOS, INCLUSIVE VIDROS - FORNECIMENTO E INSTALAÇÃO. AF_12/2019</t>
  </si>
  <si>
    <t xml:space="preserve"> 5.9.3 </t>
  </si>
  <si>
    <t xml:space="preserve"> 00002304 </t>
  </si>
  <si>
    <t>PORTA EM MADEIRA MACIÇA 0,90x2,10 M - PINT. ESMALTE NAS DUAS FACES NA COR BCO NEVE, C/ VISOR DE VIDRO 6MM E FECHADURA</t>
  </si>
  <si>
    <t xml:space="preserve"> 5.9.4 </t>
  </si>
  <si>
    <t xml:space="preserve"> 00002299 </t>
  </si>
  <si>
    <t>PORTA EM MADEIRA MACIÇA 09,0X2,10 REV. EM AÇO GALVANIZ. ABERT. P/ O EXTERIOR, C/ BARRAS ANTI-PANICO NO INTERIOR</t>
  </si>
  <si>
    <t xml:space="preserve"> 5.9.5 </t>
  </si>
  <si>
    <t xml:space="preserve"> 94573 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</si>
  <si>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</si>
  <si>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 xml:space="preserve"> 5.9.6 </t>
  </si>
  <si>
    <t xml:space="preserve"> 5404 </t>
  </si>
  <si>
    <t>JANELA BASCULANTE DE ALUMINIO</t>
  </si>
  <si>
    <t xml:space="preserve"> 5.9.7 </t>
  </si>
  <si>
    <t xml:space="preserve"> 102184 </t>
  </si>
  <si>
    <t>PORTA DE ABRIR COM MOLA HIDRÁULICA, EM VIDRO TEMPERADO, 90X210 CM, ESPESSURA 10 MM, INCLUSIVE ACESSÓRIOS. AF_01/2021</t>
  </si>
  <si>
    <t xml:space="preserve"> 5.9.8 </t>
  </si>
  <si>
    <t xml:space="preserve"> 00002310 </t>
  </si>
  <si>
    <t>PORTA EM MADEIRA MACIÇA E ISOLAMENTO ACUSTICO 1,60X2,10 - ABERTA P/ EXTERIOR C/ VISOR VIDRO 6MM, FECHADURA E PUXADOR HORIZ. INCLUSIVE, PINTURA EM ESMATE SINTÉTICO 2 DEMÃOS.</t>
  </si>
  <si>
    <t xml:space="preserve"> 5.9.9 </t>
  </si>
  <si>
    <t xml:space="preserve"> 00002308 </t>
  </si>
  <si>
    <t>PORTA EM MADEIRA MACIÇA 1,60 x 2,10 - ABERTA P/ EXTERIOR C/ CHAPA DE ALUM. TIPO XADREZ LAVRADA, FECHADURA E PUXADOR HORIZ. INCLUSIVE PINTURA COM ESMALTE SINTÉTICO 2 DEMÃOS.</t>
  </si>
  <si>
    <t xml:space="preserve"> 5.9.10 </t>
  </si>
  <si>
    <t xml:space="preserve"> 91341 </t>
  </si>
  <si>
    <t>PORTA EM ALUMÍNIO DE ABRIR TIPO VENEZIANA COM GUARNIÇÃO, FIXAÇÃO COM PARAFUSOS - FORNECIMENTO E INSTALAÇÃO. AF_12/2019</t>
  </si>
  <si>
    <t xml:space="preserve"> 5.9.11 </t>
  </si>
  <si>
    <t xml:space="preserve"> 99858 </t>
  </si>
  <si>
    <t>CORRIMÃO DUPLO, DIÂMETRO EXTERNO = 1 1/2", EM AÇO GALVANIZADO. AF_04/2019</t>
  </si>
  <si>
    <t xml:space="preserve"> 5.9.12 </t>
  </si>
  <si>
    <t xml:space="preserve"> 99839 </t>
  </si>
  <si>
    <t>GUARDA-CORPO DE AÇO GALVANIZADO DE 1,10M DE ALTURA, MONTANTES TUBULARES DE 1.1/2 ESPAÇADOS DE 1,20M, TRAVESSA SUPERIOR DE 2, GRADIL FORMADO POR BARRAS CHATAS EM FERRO DE 32X4,8MM, FIXADO COM CHUMBADOR MECÂNICO. AF_04/2019_PS</t>
  </si>
  <si>
    <t xml:space="preserve"> 5.9.13 </t>
  </si>
  <si>
    <t xml:space="preserve"> 101162 </t>
  </si>
  <si>
    <t>ALVENARIA DE VEDAÇÃO COM ELEMENTO VAZADO DE CERÂMICA (COBOGÓ) DE 7X20X20CM E ARGAMASSA DE ASSENTAMENTO COM PREPARO EM BETONEIRA. AF_05/2020</t>
  </si>
  <si>
    <t xml:space="preserve"> 5.9.14 </t>
  </si>
  <si>
    <t xml:space="preserve"> 102169 </t>
  </si>
  <si>
    <t>INSTALAÇÃO DE VIDRO LISO INCOLOR, E = 10 MM, EM ESQUADRIA DE ALUMÍNIO OU PVC, FIXADO COM BAGUETE. AF_01/2021_PS</t>
  </si>
  <si>
    <t xml:space="preserve"> 5.9.15 </t>
  </si>
  <si>
    <t xml:space="preserve"> 00005215 </t>
  </si>
  <si>
    <t>PORTA DE MADEIRA PARA PINTURA, SEMI-OCA (LEVE OU MÉDIA), 80X210CM, ESPESSURA DE 3,5CM, INCLUSO DOBRADIÇAS E PUXADOR - FORNECIMENTO E INSTALAÇÃO</t>
  </si>
  <si>
    <t xml:space="preserve"> 5.10 </t>
  </si>
  <si>
    <t>PINTURA</t>
  </si>
  <si>
    <t xml:space="preserve"> 5.10.1 </t>
  </si>
  <si>
    <t xml:space="preserve"> 88485 </t>
  </si>
  <si>
    <t>FUNDO SELADOR ACRÍLICO, APLICAÇÃO MANUAL EM PAREDE, UMA DEMÃO. AF_04/2023</t>
  </si>
  <si>
    <t xml:space="preserve"> 5.10.2 </t>
  </si>
  <si>
    <t xml:space="preserve"> 88497 </t>
  </si>
  <si>
    <t>EMASSAMENTO COM MASSA LÁTEX, APLICAÇÃO EM PAREDE, DUAS DEMÃOS, LIXAMENTO MANUAL. AF_04/2023</t>
  </si>
  <si>
    <t xml:space="preserve"> 5.10.3 </t>
  </si>
  <si>
    <t xml:space="preserve"> 88489 </t>
  </si>
  <si>
    <t>PINTURA LÁTEX ACRÍLICA PREMIUM, APLICAÇÃO MANUAL EM PAREDES, DUAS DEMÃOS. AF_04/2023</t>
  </si>
  <si>
    <t xml:space="preserve"> 5.10.4 </t>
  </si>
  <si>
    <t xml:space="preserve"> 88484 </t>
  </si>
  <si>
    <t>FUNDO SELADOR ACRÍLICO, APLICAÇÃO MANUAL EM TETO, UMA DEMÃO. AF_04/2023</t>
  </si>
  <si>
    <t xml:space="preserve"> 5.10.5 </t>
  </si>
  <si>
    <t xml:space="preserve"> 88494 </t>
  </si>
  <si>
    <t>EMASSAMENTO COM MASSA LÁTEX, APLICAÇÃO EM TETO, UMA DEMÃO, LIXAMENTO MANUAL. AF_04/2023</t>
  </si>
  <si>
    <t xml:space="preserve"> 5.10.6 </t>
  </si>
  <si>
    <t xml:space="preserve"> 88488 </t>
  </si>
  <si>
    <t>PINTURA LÁTEX ACRÍLICA PREMIUM, APLICAÇÃO MANUAL EM TETO, DUAS DEMÃOS. AF_04/2023</t>
  </si>
  <si>
    <t xml:space="preserve"> 5.10.7 </t>
  </si>
  <si>
    <t xml:space="preserve"> 102218 </t>
  </si>
  <si>
    <t>PINTURA TINTA DE ACABAMENTO (PIGMENTADA) ESMALTE SINTÉTICO FOSCO EM MADEIRA, 2 DEMÃOS. AF_01/2021</t>
  </si>
  <si>
    <t xml:space="preserve"> 5.10.8 </t>
  </si>
  <si>
    <t xml:space="preserve"> 88423 </t>
  </si>
  <si>
    <t>APLICAÇÃO MANUAL DE PINTURA COM TINTA TEXTURIZADA ACRÍLICA EM PAREDES EXTERNAS DE CASAS, UMA COR. AF_03/2024</t>
  </si>
  <si>
    <t xml:space="preserve"> 5.11 </t>
  </si>
  <si>
    <t>LOUÇAS E METAIS</t>
  </si>
  <si>
    <t xml:space="preserve"> 5.11.1 </t>
  </si>
  <si>
    <t xml:space="preserve"> 86888 </t>
  </si>
  <si>
    <t>VASO SANITÁRIO SIFONADO COM CAIXA ACOPLADA LOUÇA BRANCA - FORNECIMENTO E INSTALAÇÃO. AF_01/2020</t>
  </si>
  <si>
    <t xml:space="preserve"> 5.11.2 </t>
  </si>
  <si>
    <t xml:space="preserve"> 95471 </t>
  </si>
  <si>
    <t>VASO SANITARIO SIFONADO CONVENCIONAL PARA PCD SEM FURO FRONTAL COM LOUÇA BRANCA SEM ASSENTO - FORNECIMENTO E INSTALAÇÃO. AF_01/2020</t>
  </si>
  <si>
    <t xml:space="preserve"> 5.11.3 </t>
  </si>
  <si>
    <t xml:space="preserve"> 100849 </t>
  </si>
  <si>
    <t>ASSENTO SANITÁRIO CONVENCIONAL - FORNECIMENTO E INSTALACAO. AF_01/2020</t>
  </si>
  <si>
    <t xml:space="preserve"> 5.11.4 </t>
  </si>
  <si>
    <t xml:space="preserve"> 100860 </t>
  </si>
  <si>
    <t>CHUVEIRO ELÉTRICO COMUM CORPO PLÁSTICO, TIPO DUCHA - FORNECIMENTO E INSTALAÇÃO. AF_01/2020</t>
  </si>
  <si>
    <t xml:space="preserve"> 5.11.5 </t>
  </si>
  <si>
    <t xml:space="preserve"> 00000410 </t>
  </si>
  <si>
    <t>LAVATORIO DE CANTO DE LOUCA BRANCA, SUSPENSO (SEM COLUNA), DIMENSOES *40 X 30* CM (L X C),  INCLUSO VÁLVULA EM METAL CROMADO, SIFÃO FLEXÍVEL EM PVC E ENGATE FLEXÍVEL 30CM EM PLÁSTICO - FORNECIMENTO E INSTALAÇÃO.</t>
  </si>
  <si>
    <t xml:space="preserve"> 5.11.6 </t>
  </si>
  <si>
    <t xml:space="preserve"> 86936 </t>
  </si>
  <si>
    <t>CUBA DE EMBUTIR DE AÇO INOXIDÁVEL MÉDIA, INCLUSO VÁLVULA TIPO AMERICANA E SIFÃO TIPO GARRAFA EM METAL CROMADO - FORNECIMENTO E INSTALAÇÃO. AF_01/2020</t>
  </si>
  <si>
    <t xml:space="preserve"> 5.11.7 </t>
  </si>
  <si>
    <t xml:space="preserve"> 86909 </t>
  </si>
  <si>
    <t>TORNEIRA CROMADA TUBO MÓVEL, DE MESA, 1/2" OU 3/4", PARA PIA DE COZINHA, PADRÃO ALTO - FORNECIMENTO E INSTALAÇÃO. AF_01/2020</t>
  </si>
  <si>
    <t xml:space="preserve"> 5.11.8 </t>
  </si>
  <si>
    <t xml:space="preserve"> 86914 </t>
  </si>
  <si>
    <t>TORNEIRA CROMADA 1/2" OU 3/4" PARA TANQUE, PADRÃO MÉDIO - FORNECIMENTO E INSTALAÇÃO. AF_01/2020</t>
  </si>
  <si>
    <t xml:space="preserve"> 5.11.9 </t>
  </si>
  <si>
    <t xml:space="preserve"> 100871 </t>
  </si>
  <si>
    <t>BARRA DE APOIO RETA, EM ALUMINIO, COMPRIMENTO 70 CM, FIXADA NA PAREDE - FORNECIMENTO E INSTALAÇÃO. AF_01/2020</t>
  </si>
  <si>
    <t xml:space="preserve"> 5.11.10 </t>
  </si>
  <si>
    <t xml:space="preserve"> 86915 </t>
  </si>
  <si>
    <t>TORNEIRA CROMADA DE MESA, 1/2" OU 3/4", PARA LAVATÓRIO, PADRÃO MÉDIO - FORNECIMENTO E INSTALAÇÃO. AF_01/2020</t>
  </si>
  <si>
    <t xml:space="preserve"> 5.11.11 </t>
  </si>
  <si>
    <t xml:space="preserve"> 00002440 </t>
  </si>
  <si>
    <t>CUBA AÇO INOXIDAVEL 50x40x30 - FORNECIMENTO E INSTALAÇÃO</t>
  </si>
  <si>
    <t xml:space="preserve"> 5.11.12 </t>
  </si>
  <si>
    <t xml:space="preserve"> 00002441 </t>
  </si>
  <si>
    <t>CUBA AÇO INOXIDAVEL 60x50x30 - FORNECIMENTO E INSTALAÇÃO</t>
  </si>
  <si>
    <t xml:space="preserve"> 5.11.13 </t>
  </si>
  <si>
    <t xml:space="preserve"> 100872 </t>
  </si>
  <si>
    <t>BARRA DE APOIO RETA, EM ALUMINIO, COMPRIMENTO 80 CM, FIXADA NA PAREDE - FORNECIMENTO E INSTALAÇÃO. AF_01/2020</t>
  </si>
  <si>
    <t xml:space="preserve"> 5.11.14 </t>
  </si>
  <si>
    <t xml:space="preserve"> 0000371 </t>
  </si>
  <si>
    <t>BEBEDOURO LIFE 100 COM TORNEIRA COPO</t>
  </si>
  <si>
    <t xml:space="preserve"> 5.11.15 </t>
  </si>
  <si>
    <t xml:space="preserve"> 95547 </t>
  </si>
  <si>
    <t>SABONETEIRA PLASTICA TIPO DISPENSER PARA SABONETE LIQUIDO COM RESERVATORIO 800 A 1500 ML, INCLUSO FIXAÇÃO. AF_01/2020</t>
  </si>
  <si>
    <t xml:space="preserve"> 5.11.16 </t>
  </si>
  <si>
    <t xml:space="preserve"> 00002588 </t>
  </si>
  <si>
    <t>Tanque em Aço Inox 304 50x40x22cm - Fornecimento e Instalação</t>
  </si>
  <si>
    <t xml:space="preserve"> 5.11.17 </t>
  </si>
  <si>
    <t xml:space="preserve"> 100705 </t>
  </si>
  <si>
    <t>TARJETA TIPO LIVRE/OCUPADO PARA PORTA DE BANHEIRO. AF_12/2019</t>
  </si>
  <si>
    <t xml:space="preserve"> 5.11.18 </t>
  </si>
  <si>
    <t xml:space="preserve"> 00002589 </t>
  </si>
  <si>
    <t>TORNEIRA ALAVANCA DE MESA PARA LAVATORIO ACIONAMENTO POR COTOVELO</t>
  </si>
  <si>
    <t xml:space="preserve"> 5.11.19 </t>
  </si>
  <si>
    <t xml:space="preserve"> 0000286 </t>
  </si>
  <si>
    <t>ESPELHO EM CRISTAL INCOLOR 4mm APLICADO PAREDES</t>
  </si>
  <si>
    <t xml:space="preserve"> 5.11.20 </t>
  </si>
  <si>
    <t xml:space="preserve"> 0000376 </t>
  </si>
  <si>
    <t>DISPENSER PARA PAPEL HIGIÊNICO ROLÃO - LALEKLA - LINHA SMART (CÓD. 30180242) OU EQUIVALENTE TÉCNICO</t>
  </si>
  <si>
    <t xml:space="preserve"> 5.11.21 </t>
  </si>
  <si>
    <t xml:space="preserve"> 0000377 </t>
  </si>
  <si>
    <t>DISPENSER PARA PAPEL TOALHA INTERFOLHADO LALEKLA - LINHA EVOLUTION CÓD.30180225. OU EQUIVALENTE TÉCNICO</t>
  </si>
  <si>
    <t xml:space="preserve"> 5.11.22 </t>
  </si>
  <si>
    <t xml:space="preserve"> 00000006 </t>
  </si>
  <si>
    <t>BARRA DE APOIO RETA, EM ACO INOX POLIDO, COMPRIMENTO 40 CM,  FIXADA NA PAREDE - FORNECIMENTO E INSTALAÇÃO.</t>
  </si>
  <si>
    <t xml:space="preserve"> 5.11.23 </t>
  </si>
  <si>
    <t xml:space="preserve"> 0000368 </t>
  </si>
  <si>
    <t>DUCHA HIGIENICA COM REGISTRO LINHA ASPEN REF 1984- C35 DECA OU EQUILVALENTE</t>
  </si>
  <si>
    <t xml:space="preserve"> 5.11.24 </t>
  </si>
  <si>
    <t xml:space="preserve"> 00001296 </t>
  </si>
  <si>
    <t>CUBA DE EMBUTIR OVAL EM LOUÇA BRANCA, 35 X 50CM, INCLUSO VÁLVULA EM METAL CROMADO E SIFÃO FLEXÍVEL EM PVC - FORNECIMENTO E INSTALAÇÃO</t>
  </si>
  <si>
    <t xml:space="preserve"> 5.11.25 </t>
  </si>
  <si>
    <t xml:space="preserve"> 0000373 </t>
  </si>
  <si>
    <t>CHAPA DE AÇO INOX ESCOVADO, DIM.: ESPESSURA: 0,79mm; ALTURA: 40cm, LARGURA: 90cm, PARA FIXAR NA BASE DAS PORTAS DOS WC ACESSÍVEIS EM AMBOS OS LADOS</t>
  </si>
  <si>
    <t xml:space="preserve"> 5.11.26 </t>
  </si>
  <si>
    <t xml:space="preserve"> 0000379 </t>
  </si>
  <si>
    <t>CABIDE, ACABAMENTO CROMADO, LINHA IZY, , FAB: DECA, OU EQUIVALENTE TÉCNICO</t>
  </si>
  <si>
    <t xml:space="preserve"> 5.11.27 </t>
  </si>
  <si>
    <t xml:space="preserve"> 00002605 </t>
  </si>
  <si>
    <t>QUADRO ESCOLAR BRANCO LISO 500X120</t>
  </si>
  <si>
    <t xml:space="preserve"> 5.11.28 </t>
  </si>
  <si>
    <t xml:space="preserve"> 00005345 </t>
  </si>
  <si>
    <t>BANCADA DE GRANITO CINZA OU PRETO E = 2,5CM</t>
  </si>
  <si>
    <t xml:space="preserve"> 5.11.29 </t>
  </si>
  <si>
    <t xml:space="preserve"> 102082 </t>
  </si>
  <si>
    <t>ESCADA TIPO MARINHEIRO EM TUBO ACO GALVANIZADO 1 1/2", COM GUARDA-CORPO, PARA ALTURAS MAIORES QUE 3 M, FIXADA COM CHUMBADOR MECÂNICO. AF_11/2020</t>
  </si>
  <si>
    <t xml:space="preserve"> 5.11.30 </t>
  </si>
  <si>
    <t xml:space="preserve"> 5.11.31 </t>
  </si>
  <si>
    <t xml:space="preserve"> 00005234 </t>
  </si>
  <si>
    <t>TESTEIRA OU RESPALDO EM GRANITO 10,0cm</t>
  </si>
  <si>
    <t xml:space="preserve"> 5.12 </t>
  </si>
  <si>
    <t>INSTALAÇÕES ELÉTRICAS</t>
  </si>
  <si>
    <t xml:space="preserve"> 5.12.1 </t>
  </si>
  <si>
    <t xml:space="preserve"> 101895 </t>
  </si>
  <si>
    <t>DISJUNTOR TERMOMAGNÉTICO TRIPOLAR, CORRENTE NOMINAL DE 125A - FORNECIMENTO E INSTALAÇÃO. AF_10/2020</t>
  </si>
  <si>
    <t xml:space="preserve"> 5.12.2 </t>
  </si>
  <si>
    <t xml:space="preserve"> 93673 </t>
  </si>
  <si>
    <t>DISJUNTOR TRIPOLAR TIPO DIN, CORRENTE NOMINAL DE 50A - FORNECIMENTO E INSTALAÇÃO. AF_10/2020</t>
  </si>
  <si>
    <t xml:space="preserve"> 5.12.3 </t>
  </si>
  <si>
    <t xml:space="preserve"> 93672 </t>
  </si>
  <si>
    <t>DISJUNTOR TRIPOLAR TIPO DIN, CORRENTE NOMINAL DE 40A - FORNECIMENTO E INSTALAÇÃO. AF_10/2020</t>
  </si>
  <si>
    <t xml:space="preserve"> 5.12.4 </t>
  </si>
  <si>
    <t xml:space="preserve"> 93670 </t>
  </si>
  <si>
    <t>DISJUNTOR TRIPOLAR TIPO DIN, CORRENTE NOMINAL DE 25A - FORNECIMENTO E INSTALAÇÃO. AF_10/2020</t>
  </si>
  <si>
    <t xml:space="preserve"> 5.12.5 </t>
  </si>
  <si>
    <t xml:space="preserve"> 93669 </t>
  </si>
  <si>
    <t>DISJUNTOR TRIPOLAR TIPO DIN, CORRENTE NOMINAL DE 20A - FORNECIMENTO E INSTALAÇÃO. AF_10/2020</t>
  </si>
  <si>
    <t xml:space="preserve"> 5.12.6 </t>
  </si>
  <si>
    <t xml:space="preserve"> 93668 </t>
  </si>
  <si>
    <t>DISJUNTOR TRIPOLAR TIPO DIN, CORRENTE NOMINAL DE 16A - FORNECIMENTO E INSTALAÇÃO. AF_10/2020</t>
  </si>
  <si>
    <t xml:space="preserve"> 5.12.7 </t>
  </si>
  <si>
    <t xml:space="preserve"> 93667 </t>
  </si>
  <si>
    <t>DISJUNTOR TRIPOLAR TIPO DIN, CORRENTE NOMINAL DE 10A - FORNECIMENTO E INSTALAÇÃO. AF_10/2020</t>
  </si>
  <si>
    <t xml:space="preserve"> 5.12.8 </t>
  </si>
  <si>
    <t xml:space="preserve"> 00001535 </t>
  </si>
  <si>
    <t>DISJUNTOR TRIPOLAR TIPO DIN, CORRENTE NOMINAL DE 63A - FORNECIMENTO E INSTALAÇÃO. AF_10/2020</t>
  </si>
  <si>
    <t xml:space="preserve"> 5.12.9 </t>
  </si>
  <si>
    <t xml:space="preserve"> 00003867 </t>
  </si>
  <si>
    <t>DISJUNTOR TRIPOLAR TIPO DIN, CORRENTE NOMINAL DE 80A - FORNECIMENTO E INSTALAÇÃO.</t>
  </si>
  <si>
    <t xml:space="preserve"> 5.12.10 </t>
  </si>
  <si>
    <t xml:space="preserve"> 00001493 </t>
  </si>
  <si>
    <t>FONECIMENTO E INSTALAÇÃO DE DISJUNTOR TERMOMAGNÉTICO TRIPOLAR 70A, 380V</t>
  </si>
  <si>
    <t xml:space="preserve"> 5.12.11 </t>
  </si>
  <si>
    <t xml:space="preserve"> 00001246 </t>
  </si>
  <si>
    <t>Dispositivo de proteção contra surto de tensão DPS 80kA - 275v</t>
  </si>
  <si>
    <t xml:space="preserve"> 5.12.12 </t>
  </si>
  <si>
    <t xml:space="preserve"> 93656 </t>
  </si>
  <si>
    <t>DISJUNTOR MONOPOLAR TIPO DIN, CORRENTE NOMINAL DE 25A - FORNECIMENTO E INSTALAÇÃO. AF_10/2020</t>
  </si>
  <si>
    <t xml:space="preserve"> 5.12.13 </t>
  </si>
  <si>
    <t xml:space="preserve"> 93655 </t>
  </si>
  <si>
    <t>DISJUNTOR MONOPOLAR TIPO DIN, CORRENTE NOMINAL DE 20A - FORNECIMENTO E INSTALAÇÃO. AF_10/2020</t>
  </si>
  <si>
    <t xml:space="preserve"> 5.12.14 </t>
  </si>
  <si>
    <t xml:space="preserve"> 93654 </t>
  </si>
  <si>
    <t>DISJUNTOR MONOPOLAR TIPO DIN, CORRENTE NOMINAL DE 16A - FORNECIMENTO E INSTALAÇÃO. AF_10/2020</t>
  </si>
  <si>
    <t xml:space="preserve"> 5.12.15 </t>
  </si>
  <si>
    <t xml:space="preserve"> 93653 </t>
  </si>
  <si>
    <t>DISJUNTOR MONOPOLAR TIPO DIN, CORRENTE NOMINAL DE 10A - FORNECIMENTO E INSTALAÇÃO. AF_10/2020</t>
  </si>
  <si>
    <t xml:space="preserve"> 5.12.16 </t>
  </si>
  <si>
    <t xml:space="preserve"> 91924 </t>
  </si>
  <si>
    <t>CABO DE COBRE FLEXÍVEL ISOLADO, 1,5 MM², ANTI-CHAMA 450/750 V, PARA CIRCUITOS TERMINAIS - FORNECIMENTO E INSTALAÇÃO. AF_03/2023</t>
  </si>
  <si>
    <t xml:space="preserve"> 5.12.17 </t>
  </si>
  <si>
    <t xml:space="preserve"> 91926 </t>
  </si>
  <si>
    <t>CABO DE COBRE FLEXÍVEL ISOLADO, 2,5 MM², ANTI-CHAMA 450/750 V, PARA CIRCUITOS TERMINAIS - FORNECIMENTO E INSTALAÇÃO. AF_03/2023</t>
  </si>
  <si>
    <t xml:space="preserve"> 5.12.18 </t>
  </si>
  <si>
    <t xml:space="preserve"> 91932 </t>
  </si>
  <si>
    <t>CABO DE COBRE FLEXÍVEL ISOLADO, 10 MM², ANTI-CHAMA 450/750 V, PARA CIRCUITOS TERMINAIS - FORNECIMENTO E INSTALAÇÃO. AF_03/2023</t>
  </si>
  <si>
    <t xml:space="preserve"> 5.12.19 </t>
  </si>
  <si>
    <t xml:space="preserve"> 91934 </t>
  </si>
  <si>
    <t>CABO DE COBRE FLEXÍVEL ISOLADO, 16 MM², ANTI-CHAMA 450/750 V, PARA CIRCUITOS TERMINAIS - FORNECIMENTO E INSTALAÇÃO. AF_03/2023</t>
  </si>
  <si>
    <t xml:space="preserve"> 5.12.20 </t>
  </si>
  <si>
    <t xml:space="preserve"> 92985 </t>
  </si>
  <si>
    <t>CABO DE COBRE FLEXÍVEL ISOLADO, 35 MM², ANTI-CHAMA 450/750 V, PARA DISTRIBUIÇÃO - FORNECIMENTO E INSTALAÇÃO. AF_12/2015</t>
  </si>
  <si>
    <t xml:space="preserve"> 5.12.21 </t>
  </si>
  <si>
    <t xml:space="preserve"> 92992 </t>
  </si>
  <si>
    <t>CABO DE COBRE FLEXÍVEL ISOLADO, 95 MM², ANTI-CHAMA 0,6/1,0 KV, PARA REDE ENTERRADA DE DISTRIBUIÇÃO DE ENERGIA ELÉTRICA - FORNECIMENTO E INSTALAÇÃO. AF_12/2021</t>
  </si>
  <si>
    <t xml:space="preserve"> 5.12.22 </t>
  </si>
  <si>
    <t xml:space="preserve"> 92998 </t>
  </si>
  <si>
    <t>CABO DE COBRE FLEXÍVEL ISOLADO, 185 MM², ANTI-CHAMA 0,6/1,0 KV, PARA REDE ENTERRADA DE DISTRIBUIÇÃO DE ENERGIA ELÉTRICA - FORNECIMENTO E INSTALAÇÃO. AF_12/2021</t>
  </si>
  <si>
    <t xml:space="preserve"> 5.12.23 </t>
  </si>
  <si>
    <t xml:space="preserve"> 91941 </t>
  </si>
  <si>
    <t>CAIXA RETANGULAR 4" X 2" BAIXA (0,30 M DO PISO), PVC, INSTALADA EM PAREDE - FORNECIMENTO E INSTALAÇÃO. AF_03/2023</t>
  </si>
  <si>
    <t xml:space="preserve"> 5.12.24 </t>
  </si>
  <si>
    <t xml:space="preserve"> 91936 </t>
  </si>
  <si>
    <t>CAIXA OCTOGONAL 4" X 4", PVC, INSTALADA EM LAJE - FORNECIMENTO E INSTALAÇÃO. AF_03/2023</t>
  </si>
  <si>
    <t xml:space="preserve"> 5.12.25 </t>
  </si>
  <si>
    <t xml:space="preserve"> 95801 </t>
  </si>
  <si>
    <t>CONDULETE DE ALUMÍNIO, TIPO X, PARA ELETRODUTO DE AÇO GALVANIZADO DN 20 MM (3/4''), APARENTE - FORNECIMENTO E INSTALAÇÃO. AF_10/2022</t>
  </si>
  <si>
    <t xml:space="preserve"> 5.12.26 </t>
  </si>
  <si>
    <t xml:space="preserve"> 95802 </t>
  </si>
  <si>
    <t>CONDULETE DE ALUMÍNIO, TIPO X, PARA ELETRODUTO DE AÇO GALVANIZADO DN 25 MM (1''), APARENTE - FORNECIMENTO E INSTALAÇÃO. AF_10/2022</t>
  </si>
  <si>
    <t xml:space="preserve"> 5.12.27 </t>
  </si>
  <si>
    <t xml:space="preserve"> 91876 </t>
  </si>
  <si>
    <t>LUVA PARA ELETRODUTO, PVC, ROSCÁVEL, DN 32 MM (1"), PARA CIRCUITOS TERMINAIS, INSTALADA EM FORRO - FORNECIMENTO E INSTALAÇÃO. AF_03/2023</t>
  </si>
  <si>
    <t xml:space="preserve"> 5.12.28 </t>
  </si>
  <si>
    <t xml:space="preserve"> 91877 </t>
  </si>
  <si>
    <t>LUVA PARA ELETRODUTO, PVC, ROSCÁVEL, DN 40 MM (1 1/4"), PARA CIRCUITOS TERMINAIS, INSTALADA EM FORRO - FORNECIMENTO E INSTALAÇÃO. AF_03/2023</t>
  </si>
  <si>
    <t xml:space="preserve"> 5.12.29 </t>
  </si>
  <si>
    <t xml:space="preserve"> 91875 </t>
  </si>
  <si>
    <t>LUVA PARA ELETRODUTO, PVC, ROSCÁVEL, DN 25 MM (3/4"), PARA CIRCUITOS TERMINAIS, INSTALADA EM FORRO - FORNECIMENTO E INSTALAÇÃO. AF_03/2023</t>
  </si>
  <si>
    <t xml:space="preserve"> 5.12.30 </t>
  </si>
  <si>
    <t xml:space="preserve"> 91953 </t>
  </si>
  <si>
    <t>INTERRUPTOR SIMPLES (1 MÓDULO), 10A/250V, INCLUINDO SUPORTE E PLACA - FORNECIMENTO E INSTALAÇÃO. AF_03/2023</t>
  </si>
  <si>
    <t xml:space="preserve"> 5.12.31 </t>
  </si>
  <si>
    <t xml:space="preserve"> 91962 </t>
  </si>
  <si>
    <t>INTERRUPTOR SIMPLES (1 MÓDULO) COM INTERRUPTOR PARALELO (2 MÓDULOS), 10A/250V, SEM SUPORTE E SEM PLACA - FORNECIMENTO E INSTALAÇÃO. AF_03/2023</t>
  </si>
  <si>
    <t xml:space="preserve"> 5.12.32 </t>
  </si>
  <si>
    <t xml:space="preserve"> 91979 </t>
  </si>
  <si>
    <t>INTERRUPTOR INTERMEDIÁRIO (1 MÓDULO), 10A/250V, INCLUINDO SUPORTE E PLACA - FORNECIMENTO E INSTALAÇÃO. AF_03/2023</t>
  </si>
  <si>
    <t xml:space="preserve"> 5.12.33 </t>
  </si>
  <si>
    <t xml:space="preserve"> 91955 </t>
  </si>
  <si>
    <t>INTERRUPTOR PARALELO (1 MÓDULO), 10A/250V, INCLUINDO SUPORTE E PLACA - FORNECIMENTO E INSTALAÇÃO. AF_03/2023</t>
  </si>
  <si>
    <t xml:space="preserve"> 5.12.34 </t>
  </si>
  <si>
    <t xml:space="preserve"> 91961 </t>
  </si>
  <si>
    <t>INTERRUPTOR PARALELO (2 MÓDULOS), 10A/250V, INCLUINDO SUPORTE E PLACA - FORNECIMENTO E INSTALAÇÃO. AF_03/2023</t>
  </si>
  <si>
    <t xml:space="preserve"> 5.12.35 </t>
  </si>
  <si>
    <t xml:space="preserve"> 91969 </t>
  </si>
  <si>
    <t>INTERRUPTOR PARALELO (3 MÓDULOS), 10A/250V, INCLUINDO SUPORTE E PLACA - FORNECIMENTO E INSTALAÇÃO. AF_03/2023</t>
  </si>
  <si>
    <t xml:space="preserve"> 5.12.36 </t>
  </si>
  <si>
    <t xml:space="preserve"> 92034 </t>
  </si>
  <si>
    <t>INTERRUPTOR SIMPLES (1 MÓDULO), INTERRUPTOR PARALELO (1 MÓDULO) E 1 TOMADA DE EMBUTIR 2P+T 10 A, SEM SUPORTE E SEM PLACA - FORNECIMENTO E INSTALAÇÃO. AF_03/2023</t>
  </si>
  <si>
    <t xml:space="preserve"> 5.12.37 </t>
  </si>
  <si>
    <t xml:space="preserve"> 91959 </t>
  </si>
  <si>
    <t>INTERRUPTOR SIMPLES (2 MÓDULOS), 10A/250V, INCLUINDO SUPORTE E PLACA - FORNECIMENTO E INSTALAÇÃO. AF_03/2023</t>
  </si>
  <si>
    <t xml:space="preserve"> 5.12.38 </t>
  </si>
  <si>
    <t xml:space="preserve"> 91967 </t>
  </si>
  <si>
    <t>INTERRUPTOR SIMPLES (3 MÓDULOS), 10A/250V, INCLUINDO SUPORTE E PLACA - FORNECIMENTO E INSTALAÇÃO. AF_03/2023</t>
  </si>
  <si>
    <t xml:space="preserve"> 5.12.39 </t>
  </si>
  <si>
    <t xml:space="preserve"> 00000826 </t>
  </si>
  <si>
    <t>PLACA CEGA - PLACA 4X2"</t>
  </si>
  <si>
    <t xml:space="preserve"> 5.12.40 </t>
  </si>
  <si>
    <t xml:space="preserve"> 92008 </t>
  </si>
  <si>
    <t>TOMADA BAIXA DE EMBUTIR (2 MÓDULOS), 2P+T 10 A, INCLUINDO SUPORTE E PLACA - FORNECIMENTO E INSTALAÇÃO. AF_03/2023</t>
  </si>
  <si>
    <t xml:space="preserve"> 5.12.41 </t>
  </si>
  <si>
    <t xml:space="preserve"> 92000 </t>
  </si>
  <si>
    <t>TOMADA BAIXA DE EMBUTIR (1 MÓDULO), 2P+T 10 A, INCLUINDO SUPORTE E PLACA - FORNECIMENTO E INSTALAÇÃO. AF_03/2023</t>
  </si>
  <si>
    <t xml:space="preserve"> 5.12.42 </t>
  </si>
  <si>
    <t xml:space="preserve"> 92001 </t>
  </si>
  <si>
    <t>TOMADA BAIXA DE EMBUTIR (1 MÓDULO), 2P+T 20 A, INCLUINDO SUPORTE E PLACA - FORNECIMENTO E INSTALAÇÃO. AF_03/2023</t>
  </si>
  <si>
    <t xml:space="preserve"> 5.12.43 </t>
  </si>
  <si>
    <t xml:space="preserve"> 0000329 </t>
  </si>
  <si>
    <t>RELE TEMPORIZADOR MULTIFUNÇÃO</t>
  </si>
  <si>
    <t xml:space="preserve"> 5.12.44 </t>
  </si>
  <si>
    <t xml:space="preserve"> 0000330 </t>
  </si>
  <si>
    <t>RELE TEMPORIZADOR INTERMITENTE</t>
  </si>
  <si>
    <t xml:space="preserve"> 5.12.45 </t>
  </si>
  <si>
    <t xml:space="preserve"> 00001567 </t>
  </si>
  <si>
    <t>DISJUNTOR TRIPOLAR TIPO DIN, CORRENTE NOMINAL DE 100 ATE 250A - FORNECIMENTO E INSTALAÇÃO.</t>
  </si>
  <si>
    <t xml:space="preserve"> 5.12.46 </t>
  </si>
  <si>
    <t xml:space="preserve"> 93671 </t>
  </si>
  <si>
    <t>DISJUNTOR TRIPOLAR TIPO DIN, CORRENTE NOMINAL DE 32A - FORNECIMENTO E INSTALAÇÃO. AF_10/2020</t>
  </si>
  <si>
    <t xml:space="preserve"> 5.12.47 </t>
  </si>
  <si>
    <t xml:space="preserve"> 00000853 </t>
  </si>
  <si>
    <t>FORNECIMENTO E INSTALAÇÃO DE DISJUNTOR TRIPOLAR TERMOMAGNÉTICO, 63A, 380V</t>
  </si>
  <si>
    <t xml:space="preserve"> 5.12.48 </t>
  </si>
  <si>
    <t xml:space="preserve"> 00002529 </t>
  </si>
  <si>
    <t>FORNECIMENTO E INSTALAÇÃO DE DISJUNTOR TERMOMAGNÉTICO TRIPOLAR 70A</t>
  </si>
  <si>
    <t xml:space="preserve"> 5.12.49 </t>
  </si>
  <si>
    <t xml:space="preserve"> 00001568 </t>
  </si>
  <si>
    <t>DISJUNTOR TRIPOLAR TIPO DIN, CORRENTE NOMINAL DE 300 ATE 400A - FORNECIMENTO E INSTALAÇÃO.</t>
  </si>
  <si>
    <t xml:space="preserve"> 5.12.50 </t>
  </si>
  <si>
    <t xml:space="preserve"> 5.12.51 </t>
  </si>
  <si>
    <t xml:space="preserve"> 00001248 </t>
  </si>
  <si>
    <t>Interruptor tetrapolar DR (3 fases/neutro - In 30mA) - DIN 25A</t>
  </si>
  <si>
    <t xml:space="preserve"> 5.12.52 </t>
  </si>
  <si>
    <t xml:space="preserve"> 00001247 </t>
  </si>
  <si>
    <t>Interruptor bipolar DR (fase/fase - In 30mA) - DIN 25A</t>
  </si>
  <si>
    <t xml:space="preserve"> 5.12.53 </t>
  </si>
  <si>
    <t xml:space="preserve"> 91840 </t>
  </si>
  <si>
    <t>ELETRODUTO FLEXÍVEL CORRUGADO, PEAD, DN 40 MM (1 1/4"), PARA CIRCUITOS TERMINAIS, INSTALADO EM FORRO - FORNECIMENTO E INSTALAÇÃO. AF_03/2023</t>
  </si>
  <si>
    <t xml:space="preserve"> 5.12.54 </t>
  </si>
  <si>
    <t xml:space="preserve"> 104785 </t>
  </si>
  <si>
    <t>FIXAÇÃO DE ELETRODUTOS, DIÂMETROS MENORES OU IGUAIS A 40 MM, COM ABRAÇADEIRA METÁLICA RÍGIDA TIPO D COM PARAFUSO DE FIXAÇÃO 1 1/4", FIXADA DIRETAMENTE NA LAJE OU PAREDE. AF_09/2023</t>
  </si>
  <si>
    <t xml:space="preserve"> 5.12.55 </t>
  </si>
  <si>
    <t xml:space="preserve"> 95728 </t>
  </si>
  <si>
    <t>ELETRODUTO RÍGIDO SOLDÁVEL, PVC, DN 32 MM (1"), APARENTE - FORNECIMENTO E INSTALAÇÃO. AF_10/2022</t>
  </si>
  <si>
    <t xml:space="preserve"> 5.12.56 </t>
  </si>
  <si>
    <t xml:space="preserve"> 95727 </t>
  </si>
  <si>
    <t>ELETRODUTO RÍGIDO SOLDÁVEL, PVC, DN 25 MM (3/4"), APARENTE - FORNECIMENTO E INSTALAÇÃO. AF_10/2022</t>
  </si>
  <si>
    <t xml:space="preserve"> 5.12.57 </t>
  </si>
  <si>
    <t xml:space="preserve"> 91865 </t>
  </si>
  <si>
    <t>ELETRODUTO RÍGIDO ROSCÁVEL, PVC, DN 40 MM (1 1/4"), PARA CIRCUITOS TERMINAIS, INSTALADO EM FORRO - FORNECIMENTO E INSTALAÇÃO. AF_03/2023</t>
  </si>
  <si>
    <t xml:space="preserve"> 5.12.58 </t>
  </si>
  <si>
    <t xml:space="preserve"> 00001253 </t>
  </si>
  <si>
    <t>REFLETORES LED - 50W</t>
  </si>
  <si>
    <t xml:space="preserve"> 5.12.59 </t>
  </si>
  <si>
    <t xml:space="preserve"> 00001019 </t>
  </si>
  <si>
    <t>FORNECIMENTO E INSTALAÇÃO DE PERFILADO 38X38X3000MM</t>
  </si>
  <si>
    <t xml:space="preserve"> 5.12.60 </t>
  </si>
  <si>
    <t xml:space="preserve"> 00002104 </t>
  </si>
  <si>
    <t>Copia da SINAPI (101878) - QUADRO DE DISTRIBUIÇÃO DE ENERGIA EM CHAPA DE AÇO GALVANIZADO, DE SOBREPOR, COM BARRAMENTO TRIFÁSICO, PARA 18 DISJUNTORES DIN 100A - FORNECIMENTO E INSTALAÇÃO. AF_10/2020</t>
  </si>
  <si>
    <t xml:space="preserve"> 5.12.61 </t>
  </si>
  <si>
    <t xml:space="preserve"> 00001258 </t>
  </si>
  <si>
    <t>QUADRO - BARR. TRIF., DISJ. GERAL - DIN (REF. MORATORI) - CAP. 50 DISJ. UNIP. - IN BARR. 225A</t>
  </si>
  <si>
    <t xml:space="preserve"> 5.12.62 </t>
  </si>
  <si>
    <t xml:space="preserve"> 00001257 </t>
  </si>
  <si>
    <t>QUADRO - BARR. TRIF., DISJ. GERAL - DIN (REF. MORATORI) - CAP. 40 DISJ. UNIP. - IN BARR. 150A</t>
  </si>
  <si>
    <t xml:space="preserve"> 5.12.63 </t>
  </si>
  <si>
    <t xml:space="preserve"> 97891 </t>
  </si>
  <si>
    <t>CAIXA ENTERRADA ELÉTRICA RETANGULAR, EM ALVENARIA COM BLOCOS DE CONCRETO, FUNDO COM BRITA, DIMENSÕES INTERNAS: 0,4X0,4X0,4 M. AF_12/2020</t>
  </si>
  <si>
    <t xml:space="preserve"> 5.12.64 </t>
  </si>
  <si>
    <t xml:space="preserve"> 97886 </t>
  </si>
  <si>
    <t>CAIXA ENTERRADA ELÉTRICA RETANGULAR, EM ALVENARIA COM TIJOLOS CERÂMICOS MACIÇOS, FUNDO COM BRITA, DIMENSÕES INTERNAS: 0,3X0,3X0,3 M. AF_12/2020</t>
  </si>
  <si>
    <t xml:space="preserve"> 5.12.65 </t>
  </si>
  <si>
    <t xml:space="preserve"> 00002182 </t>
  </si>
  <si>
    <t>CAIXA DE PASSAGEM ELETRICA DE PAREDE, DE EMBUTIR, EM PVC, COM TAMPA APARAFUSADA, DIMENSOES 120 X 120 X *75* MM</t>
  </si>
  <si>
    <t xml:space="preserve"> 5.12.66 </t>
  </si>
  <si>
    <t xml:space="preserve"> 91836 </t>
  </si>
  <si>
    <t>ELETRODUTO FLEXÍVEL CORRUGADO, PVC, DN 32 MM (1"), PARA CIRCUITOS TERMINAIS, INSTALADO EM FORRO - FORNECIMENTO E INSTALAÇÃO. AF_03/2023</t>
  </si>
  <si>
    <t xml:space="preserve"> 5.12.67 </t>
  </si>
  <si>
    <t xml:space="preserve"> 91834 </t>
  </si>
  <si>
    <t>ELETRODUTO FLEXÍVEL CORRUGADO, PVC, DN 25 MM (3/4"), PARA CIRCUITOS TERMINAIS, INSTALADO EM FORRO - FORNECIMENTO E INSTALAÇÃO. AF_03/2023</t>
  </si>
  <si>
    <t xml:space="preserve"> 5.12.68 </t>
  </si>
  <si>
    <t xml:space="preserve"> 97667 </t>
  </si>
  <si>
    <t>ELETRODUTO FLEXÍVEL CORRUGADO, PEAD, DN 50 (1 1/2"), PARA REDE ENTERRADA DE DISTRIBUIÇÃO DE ENERGIA ELÉTRICA - FORNECIMENTO E INSTALAÇÃO. AF_12/2021</t>
  </si>
  <si>
    <t xml:space="preserve"> 5.12.69 </t>
  </si>
  <si>
    <t xml:space="preserve"> 91841 </t>
  </si>
  <si>
    <t>ELETRODUTO FLEXÍVEL LISO, PEAD, DN 40 MM (1 1/4"), PARA CIRCUITOS TERMINAIS, INSTALADO EM FORRO - FORNECIMENTO E INSTALAÇÃO. AF_03/2023</t>
  </si>
  <si>
    <t xml:space="preserve"> 5.12.70 </t>
  </si>
  <si>
    <t xml:space="preserve"> 97669 </t>
  </si>
  <si>
    <t>ELETRODUTO FLEXÍVEL CORRUGADO, PEAD, DN 90 (3"), PARA REDE ENTERRADA DE DISTRIBUIÇÃO DE ENERGIA ELÉTRICA - FORNECIMENTO E INSTALAÇÃO. AF_12/2021</t>
  </si>
  <si>
    <t xml:space="preserve"> 5.12.71 </t>
  </si>
  <si>
    <t xml:space="preserve"> 00002606 </t>
  </si>
  <si>
    <t>CANALETA PVC 20X10MM SEM DIVISÓRIA</t>
  </si>
  <si>
    <t xml:space="preserve"> 5.12.72 </t>
  </si>
  <si>
    <t xml:space="preserve"> 00002607 </t>
  </si>
  <si>
    <t>CANALETA PVC 50X20MM SEM DIVISÓRIA</t>
  </si>
  <si>
    <t xml:space="preserve"> 5.12.73 </t>
  </si>
  <si>
    <t xml:space="preserve"> 00002608 </t>
  </si>
  <si>
    <t>Caixa de passagem eletrica sobrepor de aço 152x152x82 mm</t>
  </si>
  <si>
    <t xml:space="preserve"> 5.12.74 </t>
  </si>
  <si>
    <t xml:space="preserve"> 00002609 </t>
  </si>
  <si>
    <t>Caixa de passagem eletrica sobrepor pvc 120x120x75 mm</t>
  </si>
  <si>
    <t xml:space="preserve"> 5.12.75 </t>
  </si>
  <si>
    <t xml:space="preserve"> 101879 </t>
  </si>
  <si>
    <t>QUADRO DE DISTRIBUIÇÃO DE ENERGIA EM CHAPA DE AÇO GALVANIZADO, DE EMBUTIR, COM BARRAMENTO TRIFÁSICO, PARA 24 DISJUNTORES DIN 100A - FORNECIMENTO E INSTALAÇÃO. AF_10/2020</t>
  </si>
  <si>
    <t xml:space="preserve"> 5.12.76 </t>
  </si>
  <si>
    <t xml:space="preserve"> 101883 </t>
  </si>
  <si>
    <t>QUADRO DE DISTRIBUIÇÃO DE ENERGIA EM CHAPA DE AÇO GALVANIZADO, DE EMBUTIR, COM BARRAMENTO TRIFÁSICO, PARA 18 DISJUNTORES DIN 100A - FORNECIMENTO E INSTALAÇÃO. AF_10/2020</t>
  </si>
  <si>
    <t xml:space="preserve"> 5.12.77 </t>
  </si>
  <si>
    <t xml:space="preserve"> 101880 </t>
  </si>
  <si>
    <t>QUADRO DE DISTRIBUIÇÃO DE ENERGIA EM CHAPA DE AÇO GALVANIZADO, DE EMBUTIR, COM BARRAMENTO TRIFÁSICO, PARA 30 DISJUNTORES DIN 150A - FORNECIMENTO E INSTALAÇÃO. AF_10/2020</t>
  </si>
  <si>
    <t xml:space="preserve"> 5.12.78 </t>
  </si>
  <si>
    <t xml:space="preserve"> 5.13 </t>
  </si>
  <si>
    <t>INSTALAÇÕES HIDROSSANITÁRIAS</t>
  </si>
  <si>
    <t xml:space="preserve"> 5.13.1 </t>
  </si>
  <si>
    <t>ÁGUA FRIA</t>
  </si>
  <si>
    <t xml:space="preserve"> 5.13.1.1 </t>
  </si>
  <si>
    <t xml:space="preserve"> 89355 </t>
  </si>
  <si>
    <t>TUBO, PVC, SOLDÁVEL, DE 20MM, INSTALADO EM RAMAL OU SUB-RAMAL DE ÁGUA - FORNECIMENTO E INSTALAÇÃO. AF_06/2022</t>
  </si>
  <si>
    <t xml:space="preserve"> 5.13.1.2 </t>
  </si>
  <si>
    <t xml:space="preserve"> 89357 </t>
  </si>
  <si>
    <t>TUBO, PVC, SOLDÁVEL, DE 32MM, INSTALADO EM RAMAL OU SUB-RAMAL DE ÁGUA - FORNECIMENTO E INSTALAÇÃO. AF_06/2022</t>
  </si>
  <si>
    <t xml:space="preserve"> 5.13.1.3 </t>
  </si>
  <si>
    <t xml:space="preserve"> 89356 </t>
  </si>
  <si>
    <t>TUBO, PVC, SOLDÁVEL, DE 25MM, INSTALADO EM RAMAL OU SUB-RAMAL DE ÁGUA - FORNECIMENTO E INSTALAÇÃO. AF_06/2022</t>
  </si>
  <si>
    <t xml:space="preserve"> 5.13.1.4 </t>
  </si>
  <si>
    <t xml:space="preserve"> 103948 </t>
  </si>
  <si>
    <t>BUCHA DE REDUÇÃO, CURTA, PVC, SOLDÁVEL, DN 32 X 25 MM, INSTALADO EM RAMAL OU SUB-RAMAL DE ÁGUA - FORNECIMENTO E INSTALAÇÃO. AF_06/2022</t>
  </si>
  <si>
    <t xml:space="preserve"> 5.13.1.5 </t>
  </si>
  <si>
    <t xml:space="preserve"> 103952 </t>
  </si>
  <si>
    <t>BUCHA DE REDUÇÃO, CURTA, PVC, SOLDÁVEL, DN 25 X 20 MM, INSTALADO EM RAMAL DE DISTRIBUIÇÃO DE ÁGUA - FORNECIMENTO E INSTALAÇÃO. AF_06/2022</t>
  </si>
  <si>
    <t xml:space="preserve"> 5.13.1.6 </t>
  </si>
  <si>
    <t xml:space="preserve"> 90373 </t>
  </si>
  <si>
    <t>JOELHO 90 GRAUS COM BUCHA DE LATÃO, PVC, SOLDÁVEL, DN 25MM, X 1/2 INSTALADO EM RAMAL OU SUB-RAMAL DE ÁGUA - FORNECIMENTO E INSTALAÇÃO. AF_06/2022</t>
  </si>
  <si>
    <t xml:space="preserve"> 5.13.1.7 </t>
  </si>
  <si>
    <t xml:space="preserve"> 89366 </t>
  </si>
  <si>
    <t>JOELHO 90 GRAUS COM BUCHA DE LATÃO, PVC, SOLDÁVEL, DN 25MM, X 3/4 INSTALADO EM RAMAL OU SUB-RAMAL DE ÁGUA - FORNECIMENTO E INSTALAÇÃO. AF_06/2022</t>
  </si>
  <si>
    <t xml:space="preserve"> 5.13.1.8 </t>
  </si>
  <si>
    <t xml:space="preserve"> 89367 </t>
  </si>
  <si>
    <t>JOELHO 90 GRAUS, PVC, SOLDÁVEL, DN 32MM, INSTALADO EM RAMAL OU SUB-RAMAL DE ÁGUA - FORNECIMENTO E INSTALAÇÃO. AF_06/2022</t>
  </si>
  <si>
    <t xml:space="preserve"> 5.13.1.9 </t>
  </si>
  <si>
    <t xml:space="preserve"> 89362 </t>
  </si>
  <si>
    <t>JOELHO 90 GRAUS, PVC, SOLDÁVEL, DN 25MM, INSTALADO EM RAMAL OU SUB-RAMAL DE ÁGUA - FORNECIMENTO E INSTALAÇÃO. AF_06/2022</t>
  </si>
  <si>
    <t xml:space="preserve"> 5.13.1.10 </t>
  </si>
  <si>
    <t xml:space="preserve"> 89396 </t>
  </si>
  <si>
    <t>TÊ COM BUCHA DE LATÃO NA BOLSA CENTRAL, PVC, SOLDÁVEL, DN 25MM X 1/2, INSTALADO EM RAMAL OU SUB-RAMAL DE ÁGUA - FORNECIMENTO E INSTALAÇÃO. AF_06/2022</t>
  </si>
  <si>
    <t xml:space="preserve"> 5.13.1.11 </t>
  </si>
  <si>
    <t xml:space="preserve"> 90374 </t>
  </si>
  <si>
    <t>TÊ COM BUCHA DE LATÃO NA BOLSA CENTRAL, PVC, SOLDÁVEL, DN 25MM X 3/4, INSTALADO EM RAMAL OU SUB-RAMAL DE ÁGUA - FORNECIMENTO E INSTALAÇÃO. AF_06/2022</t>
  </si>
  <si>
    <t xml:space="preserve"> 5.13.1.12 </t>
  </si>
  <si>
    <t xml:space="preserve"> 89400 </t>
  </si>
  <si>
    <t>TÊ DE REDUÇÃO, PVC, SOLDÁVEL, DN 32MM X 25MM, INSTALADO EM RAMAL OU SUB-RAMAL DE ÁGUA - FORNECIMENTO E INSTALAÇÃO. AF_06/2022</t>
  </si>
  <si>
    <t xml:space="preserve"> 5.13.1.13 </t>
  </si>
  <si>
    <t xml:space="preserve"> 89395 </t>
  </si>
  <si>
    <t>TE, PVC, SOLDÁVEL, DN 25MM, INSTALADO EM RAMAL OU SUB-RAMAL DE ÁGUA - FORNECIMENTO E INSTALAÇÃO. AF_06/2022</t>
  </si>
  <si>
    <t xml:space="preserve"> 5.13.1.14 </t>
  </si>
  <si>
    <t xml:space="preserve"> 89620 </t>
  </si>
  <si>
    <t>TE, PVC, SOLDÁVEL, DN 32MM, INSTALADO EM PRUMADA DE ÁGUA - FORNECIMENTO E INSTALAÇÃO. AF_06/2022</t>
  </si>
  <si>
    <t xml:space="preserve"> 5.13.1.15 </t>
  </si>
  <si>
    <t xml:space="preserve"> 89349 </t>
  </si>
  <si>
    <t>REGISTRO DE PRESSÃO BRUTO, LATÃO, ROSCÁVEL, 1/2" - FORNECIMENTO E INSTALAÇÃO. AF_08/2021</t>
  </si>
  <si>
    <t xml:space="preserve"> 5.13.1.16 </t>
  </si>
  <si>
    <t xml:space="preserve"> 89353 </t>
  </si>
  <si>
    <t>REGISTRO DE GAVETA BRUTO, LATÃO, ROSCÁVEL, 3/4" - FORNECIMENTO E INSTALAÇÃO. AF_08/2021</t>
  </si>
  <si>
    <t xml:space="preserve"> 5.13.2 </t>
  </si>
  <si>
    <t>ESGOTO</t>
  </si>
  <si>
    <t xml:space="preserve"> 5.13.2.1 </t>
  </si>
  <si>
    <t xml:space="preserve"> 89711 </t>
  </si>
  <si>
    <t>TUBO PVC, SERIE NORMAL, ESGOTO PREDIAL, DN 40 MM, FORNECIDO E INSTALADO EM RAMAL DE DESCARGA OU RAMAL DE ESGOTO SANITÁRIO. AF_08/2022</t>
  </si>
  <si>
    <t xml:space="preserve"> 5.13.2.2 </t>
  </si>
  <si>
    <t xml:space="preserve"> 89714 </t>
  </si>
  <si>
    <t>TUBO PVC, SERIE NORMAL, ESGOTO PREDIAL, DN 100 MM, FORNECIDO E INSTALADO EM RAMAL DE DESCARGA OU RAMAL DE ESGOTO SANITÁRIO. AF_08/2022</t>
  </si>
  <si>
    <t xml:space="preserve"> 5.13.2.3 </t>
  </si>
  <si>
    <t xml:space="preserve"> 89713 </t>
  </si>
  <si>
    <t>TUBO PVC, SERIE NORMAL, ESGOTO PREDIAL, DN 75 MM, FORNECIDO E INSTALADO EM RAMAL DE DESCARGA OU RAMAL DE ESGOTO SANITÁRIO. AF_08/2022</t>
  </si>
  <si>
    <t xml:space="preserve"> 5.13.2.4 </t>
  </si>
  <si>
    <t xml:space="preserve"> 89712 </t>
  </si>
  <si>
    <t>TUBO PVC, SERIE NORMAL, ESGOTO PREDIAL, DN 50 MM, FORNECIDO E INSTALADO EM RAMAL DE DESCARGA OU RAMAL DE ESGOTO SANITÁRIO. AF_08/2022</t>
  </si>
  <si>
    <t xml:space="preserve"> 5.13.2.5 </t>
  </si>
  <si>
    <t xml:space="preserve"> 89535 </t>
  </si>
  <si>
    <t>CURVA 87 GRAUS E 30 MINUTOS, PVC, SERIE R, ÁGUA PLUVIAL, DN 100 MM, JUNTA ELÁSTICA, FORNECIDO E INSTALADO EM RAMAL DE ENCAMINHAMENTO. AF_06/2022</t>
  </si>
  <si>
    <t xml:space="preserve"> 5.13.2.6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</si>
  <si>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</si>
  <si>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</si>
  <si>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5.13.2.7 </t>
  </si>
  <si>
    <t xml:space="preserve"> 89746 </t>
  </si>
  <si>
    <t>JOELHO 45 GRAUS, PVC, SERIE NORMAL, ESGOTO PREDIAL, DN 100 MM, JUNTA ELÁSTICA, FORNECIDO E INSTALADO EM RAMAL DE DESCARGA OU RAMAL DE ESGOTO SANITÁRIO. AF_08/2022</t>
  </si>
  <si>
    <t xml:space="preserve"> 5.13.2.8 </t>
  </si>
  <si>
    <t xml:space="preserve"> 89802 </t>
  </si>
  <si>
    <t>JOELHO 45 GRAUS, PVC, SERIE NORMAL, ESGOTO PREDIAL, DN 50 MM, JUNTA ELÁSTICA, FORNECIDO E INSTALADO EM PRUMADA DE ESGOTO SANITÁRIO OU VENTILAÇÃO. AF_08/2022</t>
  </si>
  <si>
    <t xml:space="preserve"> 5.13.2.9 </t>
  </si>
  <si>
    <t xml:space="preserve"> 89739 </t>
  </si>
  <si>
    <t>JOELHO 45 GRAUS, PVC, SERIE NORMAL, ESGOTO PREDIAL, DN 75 MM, JUNTA ELÁSTICA, FORNECIDO E INSTALADO EM RAMAL DE DESCARGA OU RAMAL DE ESGOTO SANITÁRIO. AF_08/2022</t>
  </si>
  <si>
    <t xml:space="preserve"> 5.13.2.10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</si>
  <si>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</si>
  <si>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</si>
  <si>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5.13.2.11 </t>
  </si>
  <si>
    <t xml:space="preserve"> 89783 </t>
  </si>
  <si>
    <t>JUNÇÃO SIMPLES, PVC, SERIE NORMAL, ESGOTO PREDIAL, DN 40 MM, JUNTA SOLDÁVEL, FORNECIDO E INSTALADO EM RAMAL DE DESCARGA OU RAMAL DE ESGOTO SANITÁRIO. AF_08/2022</t>
  </si>
  <si>
    <t xml:space="preserve"> 5.13.2.12 </t>
  </si>
  <si>
    <t xml:space="preserve"> 89785 </t>
  </si>
  <si>
    <t>JUNÇÃO SIMPLES, PVC, SERIE NORMAL, ESGOTO PREDIAL, DN 50 X 50 MM, JUNTA ELÁSTICA, FORNECIDO E INSTALADO EM RAMAL DE DESCARGA OU RAMAL DE ESGOTO SANITÁRIO. AF_08/2022</t>
  </si>
  <si>
    <t xml:space="preserve"> 5.13.2.13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</si>
  <si>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</si>
  <si>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</si>
  <si>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5.13.2.14 </t>
  </si>
  <si>
    <t xml:space="preserve"> 104345 </t>
  </si>
  <si>
    <t>JUNÇÃO DE REDUÇÃO INVERTIDA, PVC, SÉRIE NORMAL, ESGOTO PREDIAL, DN 100 X 50 MM, JUNTA ELÁSTICA, FORNECIDO E INSTALADO EM RAMAL DE DESCARGA OU RAMAL DE ESGOTO SANITÁRIO. AF_08/2022</t>
  </si>
  <si>
    <t xml:space="preserve"> 5.13.2.15 </t>
  </si>
  <si>
    <t xml:space="preserve"> 104355 </t>
  </si>
  <si>
    <t>JUNÇÃO DE REDUCAO INVERTIDA, PVC, SÉRIE NORMAL, ESGOTO PREDIAL, DN 100 X 75 MM, JUNTA ELÁSTICA, FORNECIDO E INSTALADO EM PRUMADA DE ESGOTO SANITÁRIO OU VENTILAÇÃO. AF_08/2022</t>
  </si>
  <si>
    <t xml:space="preserve"> 5.13.2.16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</si>
  <si>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</si>
  <si>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</si>
  <si>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5.13.2.17 </t>
  </si>
  <si>
    <t xml:space="preserve"> 89782 </t>
  </si>
  <si>
    <t>TE, PVC, SERIE NORMAL, ESGOTO PREDIAL, DN 40 X 40 MM, JUNTA SOLDÁVEL, FORNECIDO E INSTALADO EM RAMAL DE DESCARGA OU RAMAL DE ESGOTO SANITÁRIO. AF_08/2022</t>
  </si>
  <si>
    <t xml:space="preserve"> 5.13.2.18 </t>
  </si>
  <si>
    <t xml:space="preserve"> 89825 </t>
  </si>
  <si>
    <t>TE, PVC, SERIE NORMAL, ESGOTO PREDIAL, DN 50 X 50 MM, JUNTA ELÁSTICA, FORNECIDO E INSTALADO EM PRUMADA DE ESGOTO SANITÁRIO OU VENTILAÇÃO. AF_08/2022</t>
  </si>
  <si>
    <t xml:space="preserve"> 5.13.2.19 </t>
  </si>
  <si>
    <t xml:space="preserve"> 104352 </t>
  </si>
  <si>
    <t>TE, PVC, SÉRIE NORMAL, ESGOTO PREDIAL, DN 100 X 50 MM, JUNTA ELÁSTICA, FORNECIDO E INSTALADO EM PRUMADA DE ESGOTO SANITÁRIO OU VENTILAÇÃO. AF_08/2022</t>
  </si>
  <si>
    <t xml:space="preserve"> 5.13.2.20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</si>
  <si>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</si>
  <si>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</si>
  <si>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5.13.2.21 </t>
  </si>
  <si>
    <t xml:space="preserve"> 89850 </t>
  </si>
  <si>
    <t>JOELHO 90 GRAUS, PVC, SERIE NORMAL, ESGOTO PREDIAL, DN 100 MM, JUNTA ELÁSTICA, FORNECIDO E INSTALADO EM SUBCOLETOR AÉREO DE ESGOTO SANITÁRIO. AF_08/2022</t>
  </si>
  <si>
    <t xml:space="preserve"> 5.13.2.22 </t>
  </si>
  <si>
    <t xml:space="preserve"> 00002337 </t>
  </si>
  <si>
    <t>TÊ DE 75 X 50 ESGOTO SÉRIE NORMAL</t>
  </si>
  <si>
    <t xml:space="preserve"> 5.13.2.23 </t>
  </si>
  <si>
    <t xml:space="preserve"> 97897 </t>
  </si>
  <si>
    <t>CAIXA ENTERRADA HIDRÁULICA RETANGULAR, EM CONCRETO PRÉ-MOLDADO, DIMENSÕES INTERNAS: 0,6X0,6X0,5 M. AF_12/2020</t>
  </si>
  <si>
    <t xml:space="preserve"> 5.13.2.24 </t>
  </si>
  <si>
    <t xml:space="preserve"> 00002358 </t>
  </si>
  <si>
    <t>CAIXA SIFONADA EM ALVENARIA DE TIJOLOS MACIÇOS ESP. = 0,12M,  DIM. INT. =  0.40 x 0.40 x 0.65M</t>
  </si>
  <si>
    <t xml:space="preserve"> 5.13.2.25 </t>
  </si>
  <si>
    <t xml:space="preserve"> 00001055 </t>
  </si>
  <si>
    <t>CAIXA SIFONADA, COM GRELHA QUADRADA, PVC, DN 100 X 140 X 50 MM, JUNTA SOLDÁVEL, FORNECIDA E INSTALADA EM RAMAL DE DESCARGA OU EM RAMAL DE ESGOTO SANITÁRIO. AF_08/2022</t>
  </si>
  <si>
    <t xml:space="preserve"> 5.13.2.26 </t>
  </si>
  <si>
    <t xml:space="preserve"> 00004999 </t>
  </si>
  <si>
    <t>Caixa Sifonada Girafácil (5 Entradas), Montada com Grelha e Porta Grelha Quadrados Brancos 150 x 170 x 75mm, Esgoto</t>
  </si>
  <si>
    <t xml:space="preserve"> 5.13.2.27 </t>
  </si>
  <si>
    <t xml:space="preserve"> 00002351 </t>
  </si>
  <si>
    <t>ADAPTADOR PARA SAÍDA DE VASO SANITÁRIO 100 MM, ESGOTO SÉRIE NORMAL</t>
  </si>
  <si>
    <t xml:space="preserve"> 5.13.3 </t>
  </si>
  <si>
    <t>ÁGUAS PLUVIAIS /DRENO AR CONDICIONADO</t>
  </si>
  <si>
    <t xml:space="preserve"> 5.13.3.1 </t>
  </si>
  <si>
    <t xml:space="preserve"> 89512 </t>
  </si>
  <si>
    <t>TUBO PVC, SÉRIE R, ÁGUA PLUVIAL, DN 100 MM, FORNECIDO E INSTALADO EM RAMAL DE ENCAMINHAMENTO. AF_06/2022</t>
  </si>
  <si>
    <t xml:space="preserve"> 5.13.3.2 </t>
  </si>
  <si>
    <t xml:space="preserve"> 104166 </t>
  </si>
  <si>
    <t>TUBO PVC, SÉRIE R, ÁGUA PLUVIAL, DN 150 MM, FORNECIDO E INSTALADO EM RAMAL DE ENCAMINHAMENTO. AF_06/2022</t>
  </si>
  <si>
    <t xml:space="preserve"> 5.13.3.3 </t>
  </si>
  <si>
    <t xml:space="preserve"> 104178 </t>
  </si>
  <si>
    <t>CAP, PVC, SERIE R, ÁGUA PLUVIAL, DN 100 MM, JUNTA ELÁSTICA, FORNECIDO E INSTALADO EM RAMAL DE ENCAMINHAMENTO. AF_06/2022</t>
  </si>
  <si>
    <t xml:space="preserve"> 5.13.3.4 </t>
  </si>
  <si>
    <t xml:space="preserve"> 89587 </t>
  </si>
  <si>
    <t>CURVA 87 GRAUS E 30 MINUTOS, PVC, SERIE R, ÁGUA PLUVIAL, DN 100 MM, JUNTA ELÁSTICA, FORNECIDO E INSTALADO EM CONDUTORES VERTICAIS DE ÁGUAS PLUVIAIS. AF_06/2022</t>
  </si>
  <si>
    <t xml:space="preserve"> 5.13.3.5 </t>
  </si>
  <si>
    <t xml:space="preserve"> 89592 </t>
  </si>
  <si>
    <t>CURVA 87 GRAUS E 30 MINUTOS, PVC, SERIE R, ÁGUA PLUVIAL, DN 150 MM, JUNTA ELÁSTICA, FORNECIDO E INSTALADO EM CONDUTORES VERTICAIS DE ÁGUAS PLUVIAIS. AF_06/2022</t>
  </si>
  <si>
    <t xml:space="preserve"> 5.13.3.6 </t>
  </si>
  <si>
    <t xml:space="preserve"> 89585 </t>
  </si>
  <si>
    <t>JOELHO 45 GRAUS, PVC, SERIE R, ÁGUA PLUVIAL, DN 100 MM, JUNTA ELÁSTICA, FORNECIDO E INSTALADO EM CONDUTORES VERTICAIS DE ÁGUAS PLUVIAIS. AF_06/2022</t>
  </si>
  <si>
    <t xml:space="preserve"> 5.13.3.7 </t>
  </si>
  <si>
    <t xml:space="preserve"> 00001127 </t>
  </si>
  <si>
    <t>GRELHA  PVC, DN 150 X 150 MM, FORNECIDO E INSTALADO EM RAMAIS DE ENCAMINHAMENTO DE ÁGUA PLUVIAL.</t>
  </si>
  <si>
    <t xml:space="preserve"> 5.13.3.8 </t>
  </si>
  <si>
    <t xml:space="preserve"> 89529 </t>
  </si>
  <si>
    <t>JOELHO 90 GRAUS, PVC, SERIE R, ÁGUA PLUVIAL, DN 100 MM, JUNTA ELÁSTICA, FORNECIDO E INSTALADO EM RAMAL DE ENCAMINHAMENTO. AF_06/2022</t>
  </si>
  <si>
    <t xml:space="preserve"> 5.13.3.9 </t>
  </si>
  <si>
    <t xml:space="preserve"> 104167 </t>
  </si>
  <si>
    <t>JOELHO 90 GRAUS, PVC, SERIE R, ÁGUA PLUVIAL, DN 150 MM, JUNTA ELÁSTICA, FORNECIDO E INSTALADO EM RAMAL DE ENCAMINHAMENTO. AF_06/2022</t>
  </si>
  <si>
    <t xml:space="preserve"> 5.13.3.10 </t>
  </si>
  <si>
    <t xml:space="preserve"> 0000453 </t>
  </si>
  <si>
    <t>BUCHA DE REDUCAO DE PVC, SOLDAVEL, LONGA, COM 150X 100 MM, PARA PLUVIAL</t>
  </si>
  <si>
    <t xml:space="preserve"> 5.13.3.11 </t>
  </si>
  <si>
    <t xml:space="preserve"> 0000339 </t>
  </si>
  <si>
    <t>CAIXA DE INSPEÇÃO 1,0 X 1,0 X 0,60M PARA ESGOTO</t>
  </si>
  <si>
    <t xml:space="preserve"> 5.13.3.12 </t>
  </si>
  <si>
    <t xml:space="preserve"> 89567 </t>
  </si>
  <si>
    <t>JUNÇÃO SIMPLES, PVC, SERIE R, ÁGUA PLUVIAL, DN 100 X 100 MM, JUNTA ELÁSTICA, FORNECIDO E INSTALADO EM RAMAL DE ENCAMINHAMENTO. AF_06/2022</t>
  </si>
  <si>
    <t xml:space="preserve"> 5.13.3.13 </t>
  </si>
  <si>
    <t xml:space="preserve"> 103007 </t>
  </si>
  <si>
    <t>CAIXA COM GRELHA RETANGULAR DE FERRO FUNDIDO, EM ALVENARIA COM TIJOLOS CERÂMICOS MACIÇOS, DIMENSÕES INTERNAS: 0,30 X 1,00 X 0,5 M. AF_08/2021</t>
  </si>
  <si>
    <t xml:space="preserve"> 5.15 </t>
  </si>
  <si>
    <t>CLIMATIZAÇÃO</t>
  </si>
  <si>
    <t xml:space="preserve"> 5.15.1 </t>
  </si>
  <si>
    <t xml:space="preserve"> 103262 </t>
  </si>
  <si>
    <t>AR CONDICIONADO SPLIT ON/OFF, PISO TETO, 36.000 BTU/H, CICLO FRIO - FORNECIMENTO E INSTALAÇÃO. AF_11/2021_PSE</t>
  </si>
  <si>
    <t xml:space="preserve"> 5.15.2 </t>
  </si>
  <si>
    <t xml:space="preserve"> 103266 </t>
  </si>
  <si>
    <t>AR CONDICIONADO SPLIT ON/OFF, PISO TETO, 60.000 BTU/H, CICLO FRIO - FORNECIMENTO E INSTALAÇÃO. AF_11/2021_PE</t>
  </si>
  <si>
    <t xml:space="preserve"> 5.15.3 </t>
  </si>
  <si>
    <t xml:space="preserve"> 103264 </t>
  </si>
  <si>
    <t>AR CONDICIONADO SPLIT ON/OFF, PISO TETO, 48.000 BTU/H, CICLO FRIO - FORNECIMENTO E INSTALAÇÃO. AF_11/2021_PE</t>
  </si>
  <si>
    <t xml:space="preserve"> 5.15.4 </t>
  </si>
  <si>
    <t xml:space="preserve"> 103250 </t>
  </si>
  <si>
    <t>AR CONDICIONADO SPLIT INVERTER, HI-WALL (PAREDE), 18000 BTU/H, CICLO FRIO - FORNECIMENTO E INSTALAÇÃO. AF_11/2021_PE</t>
  </si>
  <si>
    <t xml:space="preserve"> 5.15.5 </t>
  </si>
  <si>
    <t xml:space="preserve"> 103253 </t>
  </si>
  <si>
    <t>AR CONDICIONADO SPLIT INVERTER, HI-WALL (PAREDE), 24000 BTU/H, CICLO FRIO - FORNECIMENTO E INSTALAÇÃO. AF_11/2021_PE</t>
  </si>
  <si>
    <t xml:space="preserve"> 5.15.6 </t>
  </si>
  <si>
    <t xml:space="preserve"> 103247 </t>
  </si>
  <si>
    <t>AR CONDICIONADO SPLIT INVERTER, HI-WALL (PAREDE), 12000 BTU/H, CICLO FRIO - FORNECIMENTO E INSTALAÇÃO. AF_11/2021_PE</t>
  </si>
  <si>
    <t xml:space="preserve"> 5.15.7 </t>
  </si>
  <si>
    <t xml:space="preserve"> 103289 </t>
  </si>
  <si>
    <t>TUBO EM COBRE FLEXÍVEL, DN 1/4", COM ISOLAMENTO, INSTALADO EM FORRO, PARA RAMAL DE ALIMENTAÇÃO DE AR CONDICIONADO, INCLUSO FIXADOR. AF_11/2021</t>
  </si>
  <si>
    <t xml:space="preserve"> 5.15.8 </t>
  </si>
  <si>
    <t xml:space="preserve"> 103290 </t>
  </si>
  <si>
    <t>TUBO EM COBRE FLEXÍVEL, DN 3/8", COM ISOLAMENTO, INSTALADO EM FORRO, PARA RAMAL DE ALIMENTAÇÃO DE AR CONDICIONADO, INCLUSO FIXADOR. AF_11/2021</t>
  </si>
  <si>
    <t xml:space="preserve"> 5.15.9 </t>
  </si>
  <si>
    <t xml:space="preserve"> 103291 </t>
  </si>
  <si>
    <t>TUBO EM COBRE FLEXÍVEL, DN 1/2", COM ISOLAMENTO, INSTALADO EM FORRO, PARA RAMAL DE ALIMENTAÇÃO DE AR CONDICIONADO, INCLUSO FIXADOR. AF_11/2021</t>
  </si>
  <si>
    <t xml:space="preserve"> 5.15.10 </t>
  </si>
  <si>
    <t xml:space="preserve"> 00004721 </t>
  </si>
  <si>
    <t>FORNECIMENTO E INSTALAÇÃO DE TUBO EM COBRE RÍGIDO, DN 25,4MM (1"), COM ISOLAMENTO ELASTOMÉRICO ELASTOMÉRICO PARA RAMAL DE ALIMENTAÇÃO DE AR CONDICIONADO, INCLUSO FIXADOR, CURVAS, LUVAS, SOLDAGEM, PRESSURIZAÇÃO, LIMPEZA, EVACUAÇÃO E GÁS REFRIGERANTE.</t>
  </si>
  <si>
    <t xml:space="preserve"> 5.15.11 </t>
  </si>
  <si>
    <t xml:space="preserve"> 00005424 </t>
  </si>
  <si>
    <t>FORNECIMENTO E INSTALAÇÃO DE UBO EM COBRE RÍGIDO, DN 28,6 MM (1.1/8"), PAREDE DE 1,3MM, COM ISOLAMENTO ELASTOMÉRICO PARA RAMAL DE ALIMENTAÇÃO DE AR CONDICIONADO, INCLUSO FIXADOR, CURVAS, LUVAS, SOLDAGEM, PRESSURIZAÇÃO, LIMPEZA, EVACUAÇÃO E GÁS REFRIGERANTE.</t>
  </si>
  <si>
    <t xml:space="preserve"> 5.15.12 </t>
  </si>
  <si>
    <t xml:space="preserve"> 00001272 </t>
  </si>
  <si>
    <t>FORNECIMENTO E INSTALAÇÃO DE DUTO EM CHAPA DE AÇO GALVANIZADO #24 INCLUSO SUPORTE.</t>
  </si>
  <si>
    <t xml:space="preserve"> 5.15.13 </t>
  </si>
  <si>
    <t xml:space="preserve"> 0000435 </t>
  </si>
  <si>
    <t>DUTO EM CHAPA DE AÇO GALVANIZADO Nº. 26, PARA AR CONDICIONADO. FORNECIMENTO, MONTAGEM E INSTALAÇÃO</t>
  </si>
  <si>
    <t xml:space="preserve"> 5.15.14 </t>
  </si>
  <si>
    <t xml:space="preserve"> 00001261 </t>
  </si>
  <si>
    <t>FORNECIMENTO DE AMORTECEDOR DE VIBRAÇÃO (CALÇO) EM BORRACHA/NEOPRENE MEDINDO 100X100X50</t>
  </si>
  <si>
    <t xml:space="preserve"> 5.15.15 </t>
  </si>
  <si>
    <t xml:space="preserve"> 0000438 </t>
  </si>
  <si>
    <t>FORNECIMENTO E INSTALAÇÃO DE GRELHA COM ALETAS, REFERENCIA VAT-AG, TROX OU EQUIVALENTE TÉCNICO, 225 x 225 MM</t>
  </si>
  <si>
    <t xml:space="preserve"> 5.15.16 </t>
  </si>
  <si>
    <t xml:space="preserve"> 0000439 </t>
  </si>
  <si>
    <t>FORNECIMENTO E INSTALAÇÃO DE GRELHA COM ALETAS, REFERENCIA VAT-AG, TROX OU EQUIVALENTE TÉCNICO, 225 x 125 MM</t>
  </si>
  <si>
    <t xml:space="preserve"> 5.15.17 </t>
  </si>
  <si>
    <t xml:space="preserve"> 91927 </t>
  </si>
  <si>
    <t>CABO DE COBRE FLEXÍVEL ISOLADO, 2,5 MM², ANTI-CHAMA 0,6/1,0 KV, PARA CIRCUITOS TERMINAIS - FORNECIMENTO E INSTALAÇÃO. AF_03/2023</t>
  </si>
  <si>
    <t xml:space="preserve"> 5.15.18 </t>
  </si>
  <si>
    <t xml:space="preserve"> 91929 </t>
  </si>
  <si>
    <t>CABO DE COBRE FLEXÍVEL ISOLADO, 4 MM², ANTI-CHAMA 0,6/1,0 KV, PARA CIRCUITOS TERMINAIS - FORNECIMENTO E INSTALAÇÃO. AF_03/2023</t>
  </si>
  <si>
    <t xml:space="preserve"> 5.15.19 </t>
  </si>
  <si>
    <t xml:space="preserve"> 0000440 </t>
  </si>
  <si>
    <t>FORNECIMENTO E INSTALAÇÃO DE VENEZIANA EM ALUMINIO ANODIZADO, C/ TELA, REFERENCIA AWG, TROX OU EQUIVALENTE TÉCNICO 385 x 330 MM</t>
  </si>
  <si>
    <t>FORNECIMENTO E INSTALAÇÃO DE CAIXA DE VENTILAÇÃO COM VENTILADOR TIPO ROTOR SIROCCO E FILTRO CLASSE G4, VAZÃO DE AR 944 M3/H, PRESSÃO ESTÁTICA 63,0 MMCA, INCLUSIVE SUPORTES, APOIOS E FIXAÇÕES.</t>
  </si>
  <si>
    <t xml:space="preserve"> 5.15.21 </t>
  </si>
  <si>
    <t xml:space="preserve"> 00001262 </t>
  </si>
  <si>
    <t>FORNECIMENTO DE AMORTECEDOR DE VIBRAÇÃO (CALÇO) EM BORRACHA/NEOPRENE MEDINDO 50X50X15</t>
  </si>
  <si>
    <t xml:space="preserve"> 5.15.22 </t>
  </si>
  <si>
    <t xml:space="preserve"> 5.15.23 </t>
  </si>
  <si>
    <t xml:space="preserve"> 00003927 </t>
  </si>
  <si>
    <t>FORNECIMENTO E INSTALAÇÃO DE EQUIPAMENTO EXAUSTOR DE AR, VAZÃO 248m³/h. PED.: 36mmCA, POTÊNCIA 77W, TENSÃO 220V, FREQUÊNCIA:60hz, FASE: 1F+1F. INCLUSIVE SUPORTE E FIXAÇÃO. REF.: MOD.:MAXX 100, FAB.:SICFLUX OU EQUIVALENTE TÉCNICO.</t>
  </si>
  <si>
    <t xml:space="preserve"> 5.15.24 </t>
  </si>
  <si>
    <t xml:space="preserve"> 5.15.25 </t>
  </si>
  <si>
    <t xml:space="preserve"> 0000448 </t>
  </si>
  <si>
    <t>GAS REFRIGERANTE R-141B</t>
  </si>
  <si>
    <t xml:space="preserve"> 5.15.26 </t>
  </si>
  <si>
    <t xml:space="preserve"> 00003312 </t>
  </si>
  <si>
    <t>FORNECIMENTO E INSTALAÇÃO DE CAIXA DE VENTILAÇÃO COM VENTILADOR TIPO ROTOR SIROCCO E FILTRO CLASSE G4, VAZÃO DE AR 1445 M3/H, PRESSÃO ESTÁTICA 51,0 MMCA, INCLUSIVE SUPORTES, APOIOS E FIXAÇÕES.</t>
  </si>
  <si>
    <t xml:space="preserve"> 6 </t>
  </si>
  <si>
    <t xml:space="preserve"> 6.2 </t>
  </si>
  <si>
    <t xml:space="preserve"> 6.2.1 </t>
  </si>
  <si>
    <t xml:space="preserve"> 6.2.2 </t>
  </si>
  <si>
    <t xml:space="preserve"> 6.2.3 </t>
  </si>
  <si>
    <t xml:space="preserve"> 6.2.4 </t>
  </si>
  <si>
    <t xml:space="preserve"> 6.2.5 </t>
  </si>
  <si>
    <t xml:space="preserve"> 6.2.6 </t>
  </si>
  <si>
    <t xml:space="preserve"> 6.2.7 </t>
  </si>
  <si>
    <t xml:space="preserve"> 00003443 </t>
  </si>
  <si>
    <t>LAJE PRÉ-MOLDADA UNIDIRECIONAL, BIAPOIADA, PARA FORRO OU PISO, ENCHIMENTO EM EPS 33x100, VIGOTA CONVENCIONAL, ALTURA TOTAL DA LAJE (ENCHIMENTO+CAPA) = (12+5)</t>
  </si>
  <si>
    <t xml:space="preserve"> 6.2.8 </t>
  </si>
  <si>
    <t xml:space="preserve"> 105815 </t>
  </si>
  <si>
    <t>ARMAÇÃO DO SISTEMA DE PAREDES DE CONCRETO, EXECUTADA EM PAREDES DE EDIFICAÇÕES UNIFAMILIARES, TELA Q-75. AF_12/2024</t>
  </si>
  <si>
    <t xml:space="preserve"> 6.2.9 </t>
  </si>
  <si>
    <t xml:space="preserve"> 92431 </t>
  </si>
  <si>
    <t>MONTAGEM E DESMONTAGEM DE FÔRMA DE PILARES RETANGULARES E ESTRUTURAS SIMILARES, PÉ-DIREITO SIMPLES, EM CHAPA DE MADEIRA COMPENSADA PLASTIFICADA, 10 UTILIZAÇÕES. AF_09/2020</t>
  </si>
  <si>
    <t xml:space="preserve"> 6.2.10 </t>
  </si>
  <si>
    <t xml:space="preserve"> 92468 </t>
  </si>
  <si>
    <t>MONTAGEM E DESMONTAGEM DE FÔRMA DE VIGA, ESCORAMENTO METÁLICO, PÉ-DIREITO SIMPLES, EM CHAPA DE MADEIRA PLASTIFICADA, 10 UTILIZAÇÕES. AF_09/2020</t>
  </si>
  <si>
    <t xml:space="preserve"> 6.2.11 </t>
  </si>
  <si>
    <t xml:space="preserve"> 97090 </t>
  </si>
  <si>
    <t>ARMAÇÃO PARA EXECUÇÃO DE RADIER, PISO DE CONCRETO OU LAJE SOBRE SOLO, COM USO DE TELA Q-138. AF_09/2021</t>
  </si>
  <si>
    <t xml:space="preserve"> 6.2.12 </t>
  </si>
  <si>
    <t xml:space="preserve"> 6.2.13 </t>
  </si>
  <si>
    <t xml:space="preserve"> 6.3 </t>
  </si>
  <si>
    <t xml:space="preserve"> 6.3.1 </t>
  </si>
  <si>
    <t xml:space="preserve"> 103330 </t>
  </si>
  <si>
    <t>ALVENARIA DE VEDAÇÃO DE BLOCOS CERÂMICOS FURADOS NA HORIZONTAL DE 11,5X19X19 CM (ESPESSURA 11,5 CM) E ARGAMASSA DE ASSENTAMENTO COM PREPARO EM BETONEIRA. AF_12/2021</t>
  </si>
  <si>
    <t xml:space="preserve"> 6.3.2 </t>
  </si>
  <si>
    <t xml:space="preserve"> 6.3.3 </t>
  </si>
  <si>
    <t xml:space="preserve"> 6.3.4 </t>
  </si>
  <si>
    <t xml:space="preserve"> 6.3.5 </t>
  </si>
  <si>
    <t xml:space="preserve"> 6.3.6 </t>
  </si>
  <si>
    <t xml:space="preserve"> 6.4 </t>
  </si>
  <si>
    <t xml:space="preserve"> 6.4.1 </t>
  </si>
  <si>
    <t xml:space="preserve"> 6.4.2 </t>
  </si>
  <si>
    <t xml:space="preserve"> 6.4.3 </t>
  </si>
  <si>
    <t xml:space="preserve"> 6.4.4 </t>
  </si>
  <si>
    <t xml:space="preserve"> 6.4.5 </t>
  </si>
  <si>
    <t xml:space="preserve"> 6.4.6 </t>
  </si>
  <si>
    <t xml:space="preserve"> 6.4.7 </t>
  </si>
  <si>
    <t xml:space="preserve"> 00003427 </t>
  </si>
  <si>
    <t>LANTERNIM SIMPLES VÃO DE 15,51m</t>
  </si>
  <si>
    <t xml:space="preserve"> 6.5 </t>
  </si>
  <si>
    <t xml:space="preserve"> 6.5.1 </t>
  </si>
  <si>
    <t xml:space="preserve"> 6.5.2 </t>
  </si>
  <si>
    <t xml:space="preserve"> 6.5.3 </t>
  </si>
  <si>
    <t xml:space="preserve"> 6.5.4 </t>
  </si>
  <si>
    <t xml:space="preserve"> 6.6 </t>
  </si>
  <si>
    <t xml:space="preserve"> 6.6.1 </t>
  </si>
  <si>
    <t xml:space="preserve"> 6.6.2 </t>
  </si>
  <si>
    <t xml:space="preserve"> 6.6.3 </t>
  </si>
  <si>
    <t xml:space="preserve"> 6.6.4 </t>
  </si>
  <si>
    <t xml:space="preserve"> 6.6.6 </t>
  </si>
  <si>
    <t xml:space="preserve"> 6.6.7 </t>
  </si>
  <si>
    <t xml:space="preserve"> 6.6.8 </t>
  </si>
  <si>
    <t xml:space="preserve"> 87257 </t>
  </si>
  <si>
    <t>REVESTIMENTO CERÂMICO PARA PISO COM PLACAS TIPO ESMALTADA DE DIMENSÕES 60X60 CM APLICADA EM AMBIENTES DE ÁREA MAIOR QUE 10 M2. AF_02/2023_PE</t>
  </si>
  <si>
    <t xml:space="preserve"> 6.6.9 </t>
  </si>
  <si>
    <t xml:space="preserve"> 6.6.10 </t>
  </si>
  <si>
    <t xml:space="preserve"> 6.6.11 </t>
  </si>
  <si>
    <t xml:space="preserve"> 6.6.12 </t>
  </si>
  <si>
    <t xml:space="preserve"> 6.7 </t>
  </si>
  <si>
    <t xml:space="preserve"> 6.7.1 </t>
  </si>
  <si>
    <t xml:space="preserve"> 6.7.2 </t>
  </si>
  <si>
    <t xml:space="preserve"> 6.7.3 </t>
  </si>
  <si>
    <t xml:space="preserve"> 6.7.4 </t>
  </si>
  <si>
    <t xml:space="preserve"> 6.7.5 </t>
  </si>
  <si>
    <t xml:space="preserve"> 6.7.6 </t>
  </si>
  <si>
    <t xml:space="preserve"> 6.7.7 </t>
  </si>
  <si>
    <t xml:space="preserve"> 87887 </t>
  </si>
  <si>
    <t>CHAPISCO APLICADO NO TETO OU EM ESTRUTURA, COM DESEMPENADEIRA DENTADA. ARGAMASSA INDUSTRIALIZADA COM PREPARO EM MISTURADOR 300 KG. AF_10/2022</t>
  </si>
  <si>
    <t xml:space="preserve"> 6.7.8 </t>
  </si>
  <si>
    <t xml:space="preserve"> 90406 </t>
  </si>
  <si>
    <t>MASSA ÚNICA, EM ARGAMASSA TRAÇO 1:2:8, PREPARO MECÂNICO, APLICADA MANUALMENTE EM TETO, E = 17,5MM, COM TALISCAS. AF_03/2024</t>
  </si>
  <si>
    <t xml:space="preserve"> 6.8 </t>
  </si>
  <si>
    <t xml:space="preserve"> 6.8.1 </t>
  </si>
  <si>
    <t xml:space="preserve"> 6.9 </t>
  </si>
  <si>
    <t xml:space="preserve"> 6.9.1 </t>
  </si>
  <si>
    <t xml:space="preserve"> 00002333 </t>
  </si>
  <si>
    <t>PORTA EM VIDRO TEMPERADO 10mm, 1FL FIXA 0,70x2,10m E 1 FL DE GIRO 0,90x2,10m, C/ FECHADURA E PUXADOR VERTICAL</t>
  </si>
  <si>
    <t xml:space="preserve"> 6.9.2 </t>
  </si>
  <si>
    <t xml:space="preserve"> 00002325 </t>
  </si>
  <si>
    <t>PORTÃO EM CHAPA DE AÇO GALVANIZADO Nº 16</t>
  </si>
  <si>
    <t xml:space="preserve"> 6.9.3 </t>
  </si>
  <si>
    <t xml:space="preserve"> 6.9.4 </t>
  </si>
  <si>
    <t xml:space="preserve"> 91338 </t>
  </si>
  <si>
    <t>PORTA DE ALUMÍNIO DE ABRIR COM LAMBRI, COM GUARNIÇÃO, FIXAÇÃO COM PARAFUSOS - FORNECIMENTO E INSTALAÇÃO. AF_12/2019</t>
  </si>
  <si>
    <t xml:space="preserve"> 6.9.5 </t>
  </si>
  <si>
    <t xml:space="preserve"> 6.9.6 </t>
  </si>
  <si>
    <t xml:space="preserve"> 6.9.7 </t>
  </si>
  <si>
    <t xml:space="preserve"> 100701 </t>
  </si>
  <si>
    <t>PORTA DE FERRO, DE ABRIR, TIPO GRADE COM CHAPA, COM GUARNIÇÕES. AF_12/2019</t>
  </si>
  <si>
    <t xml:space="preserve"> 6.9.8 </t>
  </si>
  <si>
    <t xml:space="preserve"> 6.9.9 </t>
  </si>
  <si>
    <t xml:space="preserve"> 6.9.10 </t>
  </si>
  <si>
    <t xml:space="preserve"> 00003419 </t>
  </si>
  <si>
    <t>TELA MOSQUITEIRA CONTRA INSETOS</t>
  </si>
  <si>
    <t xml:space="preserve"> 6.9.11 </t>
  </si>
  <si>
    <t xml:space="preserve"> 6.10 </t>
  </si>
  <si>
    <t xml:space="preserve"> 6.10.1 </t>
  </si>
  <si>
    <t xml:space="preserve"> 6.10.2 </t>
  </si>
  <si>
    <t xml:space="preserve"> 6.10.3 </t>
  </si>
  <si>
    <t xml:space="preserve"> 6.11 </t>
  </si>
  <si>
    <t xml:space="preserve"> 6.11.1 </t>
  </si>
  <si>
    <t xml:space="preserve"> 6.11.2 </t>
  </si>
  <si>
    <t xml:space="preserve"> 6.11.3 </t>
  </si>
  <si>
    <t xml:space="preserve"> 6.11.4 </t>
  </si>
  <si>
    <t xml:space="preserve"> 6.11.5 </t>
  </si>
  <si>
    <t xml:space="preserve"> 86937 </t>
  </si>
  <si>
    <t>CUBA DE EMBUTIR OVAL EM LOUÇA BRANCA, 35 X 50CM OU EQUIVALENTE, INCLUSO VÁLVULA EM METAL CROMADO E SIFÃO FLEXÍVEL EM PVC - FORNECIMENTO E INSTALAÇÃO. AF_01/2020</t>
  </si>
  <si>
    <t xml:space="preserve"> 6.11.6 </t>
  </si>
  <si>
    <t xml:space="preserve"> 6.11.7 </t>
  </si>
  <si>
    <t xml:space="preserve"> 6.11.8 </t>
  </si>
  <si>
    <t xml:space="preserve"> 6.11.9 </t>
  </si>
  <si>
    <t xml:space="preserve"> 6.11.10 </t>
  </si>
  <si>
    <t xml:space="preserve"> 6.11.11 </t>
  </si>
  <si>
    <t xml:space="preserve"> 6.11.12 </t>
  </si>
  <si>
    <t xml:space="preserve"> 6.11.13 </t>
  </si>
  <si>
    <t xml:space="preserve"> 6.11.14 </t>
  </si>
  <si>
    <t xml:space="preserve"> 6.11.15 </t>
  </si>
  <si>
    <t xml:space="preserve"> 6.11.16 </t>
  </si>
  <si>
    <t xml:space="preserve"> 6.11.17 </t>
  </si>
  <si>
    <t xml:space="preserve"> 6.11.18 </t>
  </si>
  <si>
    <t xml:space="preserve"> 6.11.19 </t>
  </si>
  <si>
    <t xml:space="preserve"> 6.11.20 </t>
  </si>
  <si>
    <t xml:space="preserve"> 6.12 </t>
  </si>
  <si>
    <t xml:space="preserve"> 6.12.1 </t>
  </si>
  <si>
    <t xml:space="preserve"> 6.12.1.1 </t>
  </si>
  <si>
    <t xml:space="preserve"> 94717 </t>
  </si>
  <si>
    <t>TUBO, CPVC, SOLDÁVEL, DN 28 MM, INSTALADO EM RESERVAÇÃO PREDIAL DE ÁGUA - FORNECIMENTO E INSTALAÇÃO. AF_04/2024</t>
  </si>
  <si>
    <t xml:space="preserve"> 6.12.1.2 </t>
  </si>
  <si>
    <t xml:space="preserve"> 6.12.1.3 </t>
  </si>
  <si>
    <t xml:space="preserve"> 6.12.1.4 </t>
  </si>
  <si>
    <t xml:space="preserve"> 6.12.1.5 </t>
  </si>
  <si>
    <t xml:space="preserve"> 6.12.1.6 </t>
  </si>
  <si>
    <t xml:space="preserve"> 6.12.1.7 </t>
  </si>
  <si>
    <t xml:space="preserve"> 89723 </t>
  </si>
  <si>
    <t>JOELHO 90 GRAUS, CPVC, SOLDÁVEL, DN 28MM, INSTALADO EM RAMAL DE DISTRIBUIÇÃO DE ÁGUA FORNECIMENTO E INSTALAÇÃO. AF_06/2022</t>
  </si>
  <si>
    <t xml:space="preserve"> 6.12.1.8 </t>
  </si>
  <si>
    <t xml:space="preserve"> 6.12.1.9 </t>
  </si>
  <si>
    <t xml:space="preserve"> 6.12.1.10 </t>
  </si>
  <si>
    <t xml:space="preserve"> 6.12.1.11 </t>
  </si>
  <si>
    <t xml:space="preserve"> 6.12.1.12 </t>
  </si>
  <si>
    <t xml:space="preserve"> 6.12.1.13 </t>
  </si>
  <si>
    <t xml:space="preserve"> 94689 </t>
  </si>
  <si>
    <t>TÊ COM BUCHA DE LATÃO NA BOLSA CENTRAL, PVC, SOLDÁVEL, DN 25 MM X 3/4", INSTALADO EM RESERVAÇÃO PREDIAL DE ÁGUA - FORNECIMENTO E INSTALAÇÃO. AF_04/2024</t>
  </si>
  <si>
    <t xml:space="preserve"> 6.12.1.14 </t>
  </si>
  <si>
    <t xml:space="preserve"> 6.12.1.15 </t>
  </si>
  <si>
    <t xml:space="preserve"> 94757 </t>
  </si>
  <si>
    <t>TE, CPVC, SOLDÁVEL, DN 28 MM, INSTALADO EM RESERVAÇÃO PREDIAL DE ÁGUA - FORNECIMENTO E INSTALAÇÃO. AF_04/2024</t>
  </si>
  <si>
    <t xml:space="preserve"> 6.12.1.16 </t>
  </si>
  <si>
    <t xml:space="preserve"> 89397 </t>
  </si>
  <si>
    <t>TÊ DE REDUÇÃO, PVC, SOLDÁVEL, DN 25MM X 20MM, INSTALADO EM RAMAL OU SUB-RAMAL DE ÁGUA - FORNECIMENTO E INSTALAÇÃO. AF_06/2022</t>
  </si>
  <si>
    <t xml:space="preserve"> 6.12.1.17 </t>
  </si>
  <si>
    <t xml:space="preserve"> 89398 </t>
  </si>
  <si>
    <t>TE, PVC, SOLDÁVEL, DN 32MM, INSTALADO EM RAMAL OU SUB-RAMAL DE ÁGUA - FORNECIMENTO E INSTALAÇÃO. AF_06/2022</t>
  </si>
  <si>
    <t xml:space="preserve"> 6.12.1.18 </t>
  </si>
  <si>
    <t xml:space="preserve"> 6.12.1.19 </t>
  </si>
  <si>
    <t xml:space="preserve"> 6.12.1.20 </t>
  </si>
  <si>
    <t xml:space="preserve"> 103045 </t>
  </si>
  <si>
    <t>REGISTRO DE PRESSÃO, PVC, ROSCÁVEL, VOLANTE SIMPLES, 1/2" - FORNECIMENTO E INSTALAÇÃO. AF_08/2021</t>
  </si>
  <si>
    <t xml:space="preserve"> 6.12.2 </t>
  </si>
  <si>
    <t xml:space="preserve"> 6.12.2.1 </t>
  </si>
  <si>
    <t xml:space="preserve"> 6.12.2.2 </t>
  </si>
  <si>
    <t xml:space="preserve"> 6.12.2.3 </t>
  </si>
  <si>
    <t xml:space="preserve"> 6.12.2.4 </t>
  </si>
  <si>
    <t xml:space="preserve"> 6.12.2.5 </t>
  </si>
  <si>
    <t xml:space="preserve"> 6.12.2.6 </t>
  </si>
  <si>
    <t xml:space="preserve"> 89732 </t>
  </si>
  <si>
    <t>JOELHO 45 GRAUS, PVC, SERIE NORMAL, ESGOTO PREDIAL, DN 50 MM, JUNTA ELÁSTICA, FORNECIDO E INSTALADO EM RAMAL DE DESCARGA OU RAMAL DE ESGOTO SANITÁRIO. AF_08/2022</t>
  </si>
  <si>
    <t xml:space="preserve"> 6.12.2.7 </t>
  </si>
  <si>
    <t xml:space="preserve"> 6.12.2.8 </t>
  </si>
  <si>
    <t xml:space="preserve"> 6.12.2.9 </t>
  </si>
  <si>
    <t xml:space="preserve"> 6.12.2.10 </t>
  </si>
  <si>
    <t xml:space="preserve"> 89737 </t>
  </si>
  <si>
    <t>JOELHO 90 GRAUS, PVC, SERIE NORMAL, ESGOTO PREDIAL, DN 75 MM, JUNTA ELÁSTICA, FORNECIDO E INSTALADO EM RAMAL DE DESCARGA OU RAMAL DE ESGOTO SANITÁRIO. AF_08/2022</t>
  </si>
  <si>
    <t xml:space="preserve"> 6.12.2.11 </t>
  </si>
  <si>
    <t xml:space="preserve"> 6.12.2.12 </t>
  </si>
  <si>
    <t xml:space="preserve"> 104347 </t>
  </si>
  <si>
    <t>JUNÇÃO DE REDUCAO INVERTIDA, PVC, SÉRIE NORMAL, ESGOTO PREDIAL, DN 100 X 75 MM, JUNTA ELÁSTICA, FORNECIDO E INSTALADO EM RAMAL DE DESCARGA OU RAMAL DE ESGOTO SANITÁRIO. AF_08/2022</t>
  </si>
  <si>
    <t xml:space="preserve"> 6.12.2.13 </t>
  </si>
  <si>
    <t xml:space="preserve"> 89834 </t>
  </si>
  <si>
    <t>JUNÇÃO SIMPLES, PVC, SERIE NORMAL, ESGOTO PREDIAL, DN 100 X 100 MM, JUNTA ELÁSTICA, FORNECIDO E INSTALADO EM PRUMADA DE ESGOTO SANITÁRIO OU VENTILAÇÃO. AF_08/2022</t>
  </si>
  <si>
    <t xml:space="preserve"> 6.12.2.14 </t>
  </si>
  <si>
    <t xml:space="preserve"> 6.12.2.15 </t>
  </si>
  <si>
    <t xml:space="preserve"> 104354 </t>
  </si>
  <si>
    <t>TE, PVC, SÉRIE NORMAL, ESGOTO PREDIAL, DN 100 X 75 MM, JUNTA ELÁSTICA, FORNECIDO E INSTALADO EM PRUMADA DE ESGOTO SANITÁRIO OU VENTILAÇÃO. AF_08/2022</t>
  </si>
  <si>
    <t xml:space="preserve"> 6.12.2.16 </t>
  </si>
  <si>
    <t xml:space="preserve"> 6.12.2.17 </t>
  </si>
  <si>
    <t xml:space="preserve"> 6.12.2.18 </t>
  </si>
  <si>
    <t xml:space="preserve"> 6.12.2.19 </t>
  </si>
  <si>
    <t xml:space="preserve"> 6.12.2.20 </t>
  </si>
  <si>
    <t xml:space="preserve"> 6.12.3 </t>
  </si>
  <si>
    <t xml:space="preserve"> 6.12.3.1 </t>
  </si>
  <si>
    <t xml:space="preserve"> 6.12.3.2 </t>
  </si>
  <si>
    <t xml:space="preserve"> 6.12.3.3 </t>
  </si>
  <si>
    <t xml:space="preserve"> 6.12.3.4 </t>
  </si>
  <si>
    <t xml:space="preserve"> 104169 </t>
  </si>
  <si>
    <t>CURVA 87 GRAUS E 30 MINUTOS, PVC, SERIE R, ÁGUA PLUVIAL, DN 150 MM, JUNTA ELÁSTICA, FORNECIDO E INSTALADO EM RAMAL DE ENCAMINHAMENTO. AF_06/2022</t>
  </si>
  <si>
    <t xml:space="preserve"> 6.12.3.5 </t>
  </si>
  <si>
    <t xml:space="preserve"> 6.12.3.6 </t>
  </si>
  <si>
    <t xml:space="preserve"> 6.12.3.7 </t>
  </si>
  <si>
    <t xml:space="preserve"> 6.12.3.8 </t>
  </si>
  <si>
    <t xml:space="preserve"> 104168 </t>
  </si>
  <si>
    <t>JOELHO 45 GRAUS, PVC, SERIE R, ÁGUA PLUVIAL, DN 150 MM, JUNTA ELÁSTICA, FORNECIDO E INSTALADO EM RAMAL DE ENCAMINHAMENTO. AF_06/2022</t>
  </si>
  <si>
    <t xml:space="preserve"> 6.12.3.9 </t>
  </si>
  <si>
    <t xml:space="preserve"> 89531 </t>
  </si>
  <si>
    <t>JOELHO 45 GRAUS, PVC, SERIE R, ÁGUA PLUVIAL, DN 100 MM, JUNTA ELÁSTICA, FORNECIDO E INSTALADO EM RAMAL DE ENCAMINHAMENTO. AF_06/2022</t>
  </si>
  <si>
    <t xml:space="preserve"> 6.12.3.10 </t>
  </si>
  <si>
    <t xml:space="preserve"> 6.12.3.11 </t>
  </si>
  <si>
    <t xml:space="preserve"> 6.12.3.12 </t>
  </si>
  <si>
    <t xml:space="preserve"> 6.12.3.13 </t>
  </si>
  <si>
    <t xml:space="preserve"> 89699 </t>
  </si>
  <si>
    <t>JUNÇÃO SIMPLES, PVC, SERIE R, ÁGUA PLUVIAL, DN 150 X 100 MM, JUNTA ELÁSTICA, FORNECIDO E INSTALADO EM CONDUTORES VERTICAIS DE ÁGUAS PLUVIAIS. AF_06/2022</t>
  </si>
  <si>
    <t xml:space="preserve"> 6.14 </t>
  </si>
  <si>
    <t>CLIMATIZAÇÃO E EXAUSTÃO</t>
  </si>
  <si>
    <t xml:space="preserve"> 6.14.1 </t>
  </si>
  <si>
    <t xml:space="preserve"> 6.14.2 </t>
  </si>
  <si>
    <t xml:space="preserve"> 6.14.3 </t>
  </si>
  <si>
    <t xml:space="preserve"> 6.14.4 </t>
  </si>
  <si>
    <t xml:space="preserve"> 6.14.5 </t>
  </si>
  <si>
    <t xml:space="preserve"> 6.14.6 </t>
  </si>
  <si>
    <t xml:space="preserve"> 00000502 </t>
  </si>
  <si>
    <t>FORNECIMENTO E INSTALAÇÃO DE CAIXA DE VENTILAÇÃO COM VENTILADOR TIPO ROTOR SIROCCO E FILTRO CLASSE G4, VAZÃO DE AR 580 M3/H, PRESSÃO ESTÁTICA 40,0 MMCA, INCLUSIVE SUPORTES, APOIOS E FIXAÇÕES.</t>
  </si>
  <si>
    <t xml:space="preserve"> 6.14.7 </t>
  </si>
  <si>
    <t xml:space="preserve"> 6.14.8 </t>
  </si>
  <si>
    <t xml:space="preserve"> 6.14.9 </t>
  </si>
  <si>
    <t xml:space="preserve"> 6.14.10 </t>
  </si>
  <si>
    <t xml:space="preserve"> 00001405 </t>
  </si>
  <si>
    <t>Fornecimento e instalação de exaustor centrifugo "Limit Load" Simples aspiração, vazão de Ar 1.620m³/h, pressão estática 70mmca, potência 1,00 CV</t>
  </si>
  <si>
    <t xml:space="preserve"> 6.14.11 </t>
  </si>
  <si>
    <t xml:space="preserve"> 0000356 </t>
  </si>
  <si>
    <t>Fornecimento e instalação de Damper Corta Fogo de acionamento eletromecânico 200x200mm</t>
  </si>
  <si>
    <t xml:space="preserve"> 6.14.12 </t>
  </si>
  <si>
    <t xml:space="preserve"> 00001271 </t>
  </si>
  <si>
    <t>FORNECIMENTO E INSTALAÇÃO DE DUTO PARA EXAUSTÃO EM CHAPA DE AÇO PRETA COM NO MINIMO 1,37MM DE ESPESSURA (N 16MSG) INCLUSO SUPORTE, CONEXÕES E JUNTA DE VEDAÇÃO.</t>
  </si>
  <si>
    <t xml:space="preserve"> 6.14.13 </t>
  </si>
  <si>
    <t xml:space="preserve"> 00001273 </t>
  </si>
  <si>
    <t>FORNECIMENTO E INSTALAÇÃO DE MANTA CERAMICA COM 50 MM DE ESPESSURA E ACESSÓRIOS.</t>
  </si>
  <si>
    <t xml:space="preserve"> 6.14.14 </t>
  </si>
  <si>
    <t xml:space="preserve"> 00001395 </t>
  </si>
  <si>
    <t>CFL-02 - Coifa total para fornos em aço inoxidavel. Dimensões 1000x900mm. Vazão de Ar 1620 m³/h</t>
  </si>
  <si>
    <t xml:space="preserve"> 6.14.15 </t>
  </si>
  <si>
    <t xml:space="preserve"> 00001409 </t>
  </si>
  <si>
    <t>Fornecimento e instalação de Grelha de insuflamento metálica, vazão 1.460 m³/h, modelo referência: Trox VAT-DG 1225X125mm.</t>
  </si>
  <si>
    <t xml:space="preserve"> 6.14.16 </t>
  </si>
  <si>
    <t xml:space="preserve"> 00001996 </t>
  </si>
  <si>
    <t>Grelha de insuflamento metálica. Vazão 3.560 m³/h. Modelo referência: Trox VAT-DG 1225X225mm.</t>
  </si>
  <si>
    <t xml:space="preserve"> 6.14.17 </t>
  </si>
  <si>
    <t xml:space="preserve"> 6.14.18 </t>
  </si>
  <si>
    <t xml:space="preserve"> 0000447 </t>
  </si>
  <si>
    <t>GAS REFRIGERANTE R410</t>
  </si>
  <si>
    <t xml:space="preserve"> 6.14.19 </t>
  </si>
  <si>
    <t xml:space="preserve"> 6.14.20 </t>
  </si>
  <si>
    <t xml:space="preserve"> 0000353 </t>
  </si>
  <si>
    <t>FORNECIMENTO E INSTALAÇÃO DE REGULADOR DE VAZÃO LEVE, REFERENCIA JN-B 200X200 OU EQUIVALENTE TÉCNICO</t>
  </si>
  <si>
    <t xml:space="preserve"> 6.14.21 </t>
  </si>
  <si>
    <t xml:space="preserve"> 00001397 </t>
  </si>
  <si>
    <t>FORNECIMENTO E INSTALAÇÃO DE CAIXA DE VENTILAÇÃO COM VENTILADOR "SIROCCO" DUPLA ASPIRAÇÃO. VAZÃO DE AR 1.462m³/h, PRESSÃO ESTATICA 60mmca POTENCIA 6,7CV</t>
  </si>
  <si>
    <t xml:space="preserve"> 6.14.22 </t>
  </si>
  <si>
    <t xml:space="preserve"> 00004033 </t>
  </si>
  <si>
    <t>CF-01 - Coifa tipo ilha em aço inoxidavel. Dimensões 2900x1100mm. Vazão de Ar 7.344 m³/h</t>
  </si>
  <si>
    <t xml:space="preserve"> 6.14.23 </t>
  </si>
  <si>
    <t xml:space="preserve"> 00004032 </t>
  </si>
  <si>
    <t>Exaustor centrifugo "Limit Load" Simples aspiração. Vazão de Ar 7.344m³/h, Pressão estática 70mmca. Potência 2,88 CV, Motor Alto rendimento, IV Pólos, 380 / 220V/60Hz. Modelo  de referência: Otam RLS 450 ou equivalente técnico.</t>
  </si>
  <si>
    <t xml:space="preserve"> 6.14.24 </t>
  </si>
  <si>
    <t xml:space="preserve"> 00004034 </t>
  </si>
  <si>
    <t>DC- Damper Corta Fogo de acionamento eletromecânico, resistência ao fogo de no mínimo 1h. Dimensão 450x450mm. Modelo referência: Trox FKA-TA-BR-90 ou equivalente técnico.</t>
  </si>
  <si>
    <t xml:space="preserve"> 6.14.25 </t>
  </si>
  <si>
    <t xml:space="preserve"> 00004035 </t>
  </si>
  <si>
    <t>RG - Regulador de vazão leve. Dimensão 450x450mm. Modelo referência: Trox JN-B 450x450 ou equivalente técnico.</t>
  </si>
  <si>
    <t xml:space="preserve"> 6.14.26 </t>
  </si>
  <si>
    <t xml:space="preserve"> 00004036 </t>
  </si>
  <si>
    <t>Caixa de Ventilação com ventilador "Sirocco" Dupla aspiração. Vazão de Ar 6.610m³/h, Pressão estática 60mmca Potência 2,66CV, Motor Alto rendimento, IV Pólos, 380 / 220V/60Hz. Filtragem G1+G3. Modelo de referência: Otam GVS-15/15 ou equivalente técnico.</t>
  </si>
  <si>
    <t xml:space="preserve"> 6.15 </t>
  </si>
  <si>
    <t>GLP</t>
  </si>
  <si>
    <t xml:space="preserve"> 6.15.1 </t>
  </si>
  <si>
    <t xml:space="preserve"> 00001274 </t>
  </si>
  <si>
    <t>Fornecimento e instalação de Registro de Esfera Reto 1/2"x3/8" com Bico para Mangueira</t>
  </si>
  <si>
    <t xml:space="preserve"> 6.15.2 </t>
  </si>
  <si>
    <t>VÁLVULA DE ESFERA BRUTA, BRONZE, ROSCÁVEL, 1'' - FORNECIMENTO E INSTALAÇÃO. AF_08/2021</t>
  </si>
  <si>
    <t xml:space="preserve"> 6.15.3 </t>
  </si>
  <si>
    <t xml:space="preserve"> 00001275 </t>
  </si>
  <si>
    <t>Fornecimento e instalação de Regulador de pressão de 1º estagio 30kg/h</t>
  </si>
  <si>
    <t xml:space="preserve"> 6.15.4 </t>
  </si>
  <si>
    <t xml:space="preserve"> 6.15.5 </t>
  </si>
  <si>
    <t xml:space="preserve"> 92703 </t>
  </si>
  <si>
    <t>JOELHO 90 GRAUS, EM FERRO GALVANIZADO, CONEXÃO ROSQUEADA, DN 25 (1"), INSTALADO EM RAMAIS E SUB-RAMAIS DE GÁS - FORNECIMENTO E INSTALAÇÃO. AF_10/2020</t>
  </si>
  <si>
    <t xml:space="preserve"> 6.15.6 </t>
  </si>
  <si>
    <t>JOELHO 90 GRAUS, EM FERRO GALVANIZADO, DN 32 (1 1/4"), CONEXÃO ROSQUEADA, INSTALADO EM REDE DE ALIMENTAÇÃO PARA HIDRANTE - FORNECIMENTO E INSTALAÇÃO. AF_10/2020</t>
  </si>
  <si>
    <t xml:space="preserve"> 6.15.7 </t>
  </si>
  <si>
    <t>TÊ, EM FERRO GALVANIZADO, CONEXÃO ROSQUEADA, DN 32 (1 1/4"), INSTALADO EM REDE DE ALIMENTAÇÃO PARA HIDRANTE - FORNECIMENTO E INSTALAÇÃO. AF_10/2020</t>
  </si>
  <si>
    <t xml:space="preserve"> 6.15.8 </t>
  </si>
  <si>
    <t>LUVA DE REDUÇÃO, EM FERRO GALVANIZADO, 1 1/4" X 1", CONEXÃO ROSQUEADA, INSTALADO EM REDE DE ALIMENTAÇÃO PARA HIDRANTE - FORNECIMENTO E INSTALAÇÃO. AF_10/2020</t>
  </si>
  <si>
    <t xml:space="preserve"> 6.15.9 </t>
  </si>
  <si>
    <t xml:space="preserve"> 92706 </t>
  </si>
  <si>
    <t>TÊ, EM FERRO GALVANIZADO, CONEXÃO ROSQUEADA, DN 25 (1"), INSTALADO EM RAMAIS E SUB-RAMAIS DE GÁS - FORNECIMENTO E INSTALAÇÃO. AF_10/2020</t>
  </si>
  <si>
    <t xml:space="preserve"> 6.15.10 </t>
  </si>
  <si>
    <t xml:space="preserve"> 00002353 </t>
  </si>
  <si>
    <t>TAMPÃO 1.1/4'' - FORNECIMENTO E INSTALAÇÃO</t>
  </si>
  <si>
    <t xml:space="preserve"> 6.15.11 </t>
  </si>
  <si>
    <t xml:space="preserve"> 00001276 </t>
  </si>
  <si>
    <t>FORNECIMENTO E INSTALAÇÃO TUBO SCHEDULE 1"</t>
  </si>
  <si>
    <t xml:space="preserve"> 6.15.12 </t>
  </si>
  <si>
    <t>FORNECIMENTO E INSTALAÇÃO TUBO SCHEDULE 1 1/4"</t>
  </si>
  <si>
    <t xml:space="preserve"> 6.15.13 </t>
  </si>
  <si>
    <t>CILINDRO P-90</t>
  </si>
  <si>
    <t xml:space="preserve"> 7 </t>
  </si>
  <si>
    <t xml:space="preserve"> 7.2 </t>
  </si>
  <si>
    <t xml:space="preserve"> 7.2.1 </t>
  </si>
  <si>
    <t xml:space="preserve"> 7.2.2 </t>
  </si>
  <si>
    <t xml:space="preserve"> 7.2.3 </t>
  </si>
  <si>
    <t xml:space="preserve"> 7.2.4 </t>
  </si>
  <si>
    <t xml:space="preserve"> 7.2.5 </t>
  </si>
  <si>
    <t xml:space="preserve"> 7.2.6 </t>
  </si>
  <si>
    <t xml:space="preserve"> 7.2.7 </t>
  </si>
  <si>
    <t xml:space="preserve"> 7.2.8 </t>
  </si>
  <si>
    <t xml:space="preserve"> 7.2.9 </t>
  </si>
  <si>
    <t xml:space="preserve"> 7.2.10 </t>
  </si>
  <si>
    <t xml:space="preserve"> 7.2.11 </t>
  </si>
  <si>
    <t xml:space="preserve"> 7.2.12 </t>
  </si>
  <si>
    <t xml:space="preserve"> 7.2.13 </t>
  </si>
  <si>
    <t xml:space="preserve"> 7.2.14 </t>
  </si>
  <si>
    <t xml:space="preserve"> 92368 </t>
  </si>
  <si>
    <t>TUBO DE AÇO GALVANIZADO COM COSTURA, CLASSE MÉDIA, DN 80 (3"), CONEXÃO ROSQUEADA, INSTALADO EM REDE DE ALIMENTAÇÃO PARA HIDRANTE - FORNECIMENTO E INSTALAÇÃO. AF_10/2020</t>
  </si>
  <si>
    <t xml:space="preserve"> 7.2.15 </t>
  </si>
  <si>
    <t xml:space="preserve"> 7.2.16 </t>
  </si>
  <si>
    <t xml:space="preserve"> 7.2.17 </t>
  </si>
  <si>
    <t xml:space="preserve"> 92773 </t>
  </si>
  <si>
    <t>ARMAÇÃO DE LAJE DE ESTRUTURA CONVENCIONAL DE CONCRETO ARMADO UTILIZANDO AÇO CA-50 DE 16,0 MM - MONTAGEM. AF_06/2022</t>
  </si>
  <si>
    <t xml:space="preserve"> 7.2.18 </t>
  </si>
  <si>
    <t xml:space="preserve"> 7.2.19 </t>
  </si>
  <si>
    <t xml:space="preserve"> 7.3 </t>
  </si>
  <si>
    <t xml:space="preserve"> 7.3.1 </t>
  </si>
  <si>
    <t xml:space="preserve"> 7.3.2 </t>
  </si>
  <si>
    <t xml:space="preserve"> 7.3.3 </t>
  </si>
  <si>
    <t xml:space="preserve"> 7.3.4 </t>
  </si>
  <si>
    <t xml:space="preserve"> 7.3.5 </t>
  </si>
  <si>
    <t xml:space="preserve"> 7.3.6 </t>
  </si>
  <si>
    <t xml:space="preserve"> 7.4 </t>
  </si>
  <si>
    <t xml:space="preserve"> 7.4.1 </t>
  </si>
  <si>
    <t xml:space="preserve"> 7.4.2 </t>
  </si>
  <si>
    <t xml:space="preserve"> 7.4.3 </t>
  </si>
  <si>
    <t xml:space="preserve"> 7.4.4 </t>
  </si>
  <si>
    <t xml:space="preserve"> 7.4.5 </t>
  </si>
  <si>
    <t xml:space="preserve"> 94223 </t>
  </si>
  <si>
    <t>CUMEEIRA PARA TELHA DE FIBROCIMENTO ONDULADA E = 6 MM, INCLUSO ACESSÓRIOS DE FIXAÇÃO E IÇAMENTO. AF_07/2019</t>
  </si>
  <si>
    <t xml:space="preserve"> 7.4.6 </t>
  </si>
  <si>
    <t xml:space="preserve"> 7.5 </t>
  </si>
  <si>
    <t xml:space="preserve"> 7.5.1 </t>
  </si>
  <si>
    <t xml:space="preserve"> 7.5.2 </t>
  </si>
  <si>
    <t xml:space="preserve"> 7.5.3 </t>
  </si>
  <si>
    <t xml:space="preserve"> 98565 </t>
  </si>
  <si>
    <t>PROTEÇÃO MECÂNICA DE SUPERFICIE HORIZONTAL COM ARGAMASSA DE CIMENTO E AREIA, TRAÇO 1:3, E=3CM. AF_09/2023</t>
  </si>
  <si>
    <t xml:space="preserve"> 7.5.4 </t>
  </si>
  <si>
    <t xml:space="preserve"> 7.6 </t>
  </si>
  <si>
    <t xml:space="preserve"> 7.6.1 </t>
  </si>
  <si>
    <t xml:space="preserve"> 7.6.2 </t>
  </si>
  <si>
    <t xml:space="preserve"> 7.6.3 </t>
  </si>
  <si>
    <t xml:space="preserve"> 7.6.4 </t>
  </si>
  <si>
    <t xml:space="preserve"> 7.6.5 </t>
  </si>
  <si>
    <t xml:space="preserve"> 87249 </t>
  </si>
  <si>
    <t>REVESTIMENTO CERÂMICO PARA PISO COM PLACAS TIPO ESMALTADA DE DIMENSÕES 45X45 CM APLICADA EM AMBIENTES DE ÁREA MENOR QUE 5 M2. AF_02/2023_PE</t>
  </si>
  <si>
    <t xml:space="preserve"> 7.6.6 </t>
  </si>
  <si>
    <t xml:space="preserve"> 87250 </t>
  </si>
  <si>
    <t>REVESTIMENTO CERÂMICO PARA PISO COM PLACAS TIPO ESMALTADA DE DIMENSÕES 45X45 CM APLICADA EM AMBIENTES DE ÁREA ENTRE 5 M2 E 10 M2. AF_02/2023_PE</t>
  </si>
  <si>
    <t xml:space="preserve"> 7.6.7 </t>
  </si>
  <si>
    <t xml:space="preserve"> 7.6.8 </t>
  </si>
  <si>
    <t xml:space="preserve"> 7.6.9 </t>
  </si>
  <si>
    <t xml:space="preserve"> 7.7 </t>
  </si>
  <si>
    <t xml:space="preserve"> 7.7.1 </t>
  </si>
  <si>
    <t xml:space="preserve"> 7.7.2 </t>
  </si>
  <si>
    <t xml:space="preserve"> 7.7.3 </t>
  </si>
  <si>
    <t xml:space="preserve"> 7.7.4 </t>
  </si>
  <si>
    <t xml:space="preserve"> 7.7.5 </t>
  </si>
  <si>
    <t xml:space="preserve"> 7.7.6 </t>
  </si>
  <si>
    <t xml:space="preserve"> 7.8 </t>
  </si>
  <si>
    <t xml:space="preserve"> 7.8.1 </t>
  </si>
  <si>
    <t xml:space="preserve"> 7.9 </t>
  </si>
  <si>
    <t xml:space="preserve"> 7.9.1 </t>
  </si>
  <si>
    <t xml:space="preserve"> 7.9.2 </t>
  </si>
  <si>
    <t xml:space="preserve"> 7.9.3 </t>
  </si>
  <si>
    <t xml:space="preserve"> 7.9.4 </t>
  </si>
  <si>
    <t xml:space="preserve"> 7.9.5 </t>
  </si>
  <si>
    <t xml:space="preserve"> 7.9.6 </t>
  </si>
  <si>
    <t xml:space="preserve"> 7.10 </t>
  </si>
  <si>
    <t xml:space="preserve"> 7.10.1 </t>
  </si>
  <si>
    <t xml:space="preserve"> 7.10.2 </t>
  </si>
  <si>
    <t xml:space="preserve"> 7.10.3 </t>
  </si>
  <si>
    <t xml:space="preserve"> 7.10.4 </t>
  </si>
  <si>
    <t xml:space="preserve"> 7.10.5 </t>
  </si>
  <si>
    <t xml:space="preserve"> 7.10.6 </t>
  </si>
  <si>
    <t xml:space="preserve"> 7.10.7 </t>
  </si>
  <si>
    <t xml:space="preserve"> 7.11 </t>
  </si>
  <si>
    <t xml:space="preserve"> 7.11.1 </t>
  </si>
  <si>
    <t xml:space="preserve"> 7.11.2 </t>
  </si>
  <si>
    <t xml:space="preserve"> 7.11.3 </t>
  </si>
  <si>
    <t xml:space="preserve"> 7.11.4 </t>
  </si>
  <si>
    <t xml:space="preserve"> 7.11.5 </t>
  </si>
  <si>
    <t xml:space="preserve"> 7.11.6 </t>
  </si>
  <si>
    <t xml:space="preserve"> 7.11.7 </t>
  </si>
  <si>
    <t xml:space="preserve"> 7.11.8 </t>
  </si>
  <si>
    <t xml:space="preserve"> 7.11.9 </t>
  </si>
  <si>
    <t xml:space="preserve"> 7.11.10 </t>
  </si>
  <si>
    <t xml:space="preserve"> 7.11.11 </t>
  </si>
  <si>
    <t xml:space="preserve"> 7.11.12 </t>
  </si>
  <si>
    <t xml:space="preserve"> 7.11.13 </t>
  </si>
  <si>
    <t xml:space="preserve"> 7.12 </t>
  </si>
  <si>
    <t xml:space="preserve"> 7.12.1 </t>
  </si>
  <si>
    <t xml:space="preserve"> 7.12.1.1 </t>
  </si>
  <si>
    <t xml:space="preserve"> 7.12.1.2 </t>
  </si>
  <si>
    <t xml:space="preserve"> 7.12.1.3 </t>
  </si>
  <si>
    <t xml:space="preserve"> 7.12.1.4 </t>
  </si>
  <si>
    <t xml:space="preserve"> 103953 </t>
  </si>
  <si>
    <t>BUCHA DE REDUÇÃO, CURTA, PVC, SOLDÁVEL, DN 32 X 25 MM, INSTALADO EM RAMAL DE DISTRIBUIÇÃO DE ÁGUA - FORNECIMENTO E INSTALAÇÃO. AF_06/2022</t>
  </si>
  <si>
    <t xml:space="preserve"> 7.12.1.5 </t>
  </si>
  <si>
    <t xml:space="preserve"> 7.12.1.6 </t>
  </si>
  <si>
    <t xml:space="preserve"> 7.12.1.7 </t>
  </si>
  <si>
    <t xml:space="preserve"> 7.12.1.8 </t>
  </si>
  <si>
    <t xml:space="preserve"> 7.12.1.9 </t>
  </si>
  <si>
    <t xml:space="preserve"> 7.12.1.10 </t>
  </si>
  <si>
    <t xml:space="preserve"> 7.12.2 </t>
  </si>
  <si>
    <t xml:space="preserve"> 7.12.2.1 </t>
  </si>
  <si>
    <t xml:space="preserve"> 7.12.2.2 </t>
  </si>
  <si>
    <t xml:space="preserve"> 7.12.2.3 </t>
  </si>
  <si>
    <t xml:space="preserve"> 7.12.2.4 </t>
  </si>
  <si>
    <t xml:space="preserve"> 7.12.2.5 </t>
  </si>
  <si>
    <t xml:space="preserve"> 7.12.2.6 </t>
  </si>
  <si>
    <t xml:space="preserve"> 7.12.2.7 </t>
  </si>
  <si>
    <t xml:space="preserve"> 7.12.2.8 </t>
  </si>
  <si>
    <t xml:space="preserve"> 7.12.2.9 </t>
  </si>
  <si>
    <t xml:space="preserve"> 7.12.2.10 </t>
  </si>
  <si>
    <t xml:space="preserve"> 7.12.2.11 </t>
  </si>
  <si>
    <t xml:space="preserve"> 7.12.2.12 </t>
  </si>
  <si>
    <t xml:space="preserve"> 7.12.2.13 </t>
  </si>
  <si>
    <t xml:space="preserve"> 7.12.2.14 </t>
  </si>
  <si>
    <t xml:space="preserve"> 7.12.2.15 </t>
  </si>
  <si>
    <t xml:space="preserve"> 7.12.2.16 </t>
  </si>
  <si>
    <t xml:space="preserve"> 7.12.2.17 </t>
  </si>
  <si>
    <t xml:space="preserve"> 7.12.2.18 </t>
  </si>
  <si>
    <t xml:space="preserve"> 7.12.2.19 </t>
  </si>
  <si>
    <t xml:space="preserve"> 00003388 </t>
  </si>
  <si>
    <t>CAIXA DE INSPEÇÃO EM ALVENARIA DE TIJOLO MACIÇO 60X60X60CM COM GRELHA DE FERRO FUNDIDO SIMPLES COM REQUADRO, 600 X 600 MM - FORNECIMENTO E INSTALAÇÃO</t>
  </si>
  <si>
    <t xml:space="preserve"> 7.12.3 </t>
  </si>
  <si>
    <t xml:space="preserve"> 7.12.3.1 </t>
  </si>
  <si>
    <t xml:space="preserve"> 7.12.3.2 </t>
  </si>
  <si>
    <t xml:space="preserve"> 7.12.3.3 </t>
  </si>
  <si>
    <t xml:space="preserve"> 7.12.3.4 </t>
  </si>
  <si>
    <t xml:space="preserve"> 7.12.3.5 </t>
  </si>
  <si>
    <t xml:space="preserve"> 89690 </t>
  </si>
  <si>
    <t>JUNÇÃO SIMPLES, PVC, SERIE R, ÁGUA PLUVIAL, DN 100 X 100 MM, JUNTA ELÁSTICA, FORNECIDO E INSTALADO EM CONDUTORES VERTICAIS DE ÁGUAS PLUVIAIS. AF_06/2022</t>
  </si>
  <si>
    <t xml:space="preserve"> 7.12.3.6 </t>
  </si>
  <si>
    <t xml:space="preserve"> 7.12.3.7 </t>
  </si>
  <si>
    <t xml:space="preserve"> 7.12.3.8 </t>
  </si>
  <si>
    <t xml:space="preserve"> 7.12.3.9 </t>
  </si>
  <si>
    <t xml:space="preserve"> 7.12.3.10 </t>
  </si>
  <si>
    <t xml:space="preserve"> 7.12.3.11 </t>
  </si>
  <si>
    <t xml:space="preserve"> 7.12.3.12 </t>
  </si>
  <si>
    <t xml:space="preserve"> 104174 </t>
  </si>
  <si>
    <t>JUNÇÃO SIMPLES, PVC, SERIE R, ÁGUA PLUVIAL, DN 150 X 100 MM, JUNTA ELÁSTICA, FORNECIDO E INSTALADO EM RAMAL DE ENCAMINHAMENTO. AF_06/2022</t>
  </si>
  <si>
    <t xml:space="preserve"> 7.12.3.13 </t>
  </si>
  <si>
    <t xml:space="preserve"> 89854 </t>
  </si>
  <si>
    <t>JOELHO 90 GRAUS, PVC, SERIE NORMAL, ESGOTO PREDIAL, DN 150 MM, JUNTA ELÁSTICA, FORNECIDO E INSTALADO EM SUBCOLETOR AÉREO DE ESGOTO SANITÁRIO. AF_08/2022</t>
  </si>
  <si>
    <t xml:space="preserve"> 7.14 </t>
  </si>
  <si>
    <t xml:space="preserve"> 7.14.1 </t>
  </si>
  <si>
    <t xml:space="preserve"> 7.14.2 </t>
  </si>
  <si>
    <t xml:space="preserve"> 7.14.3 </t>
  </si>
  <si>
    <t xml:space="preserve"> 7.14.4 </t>
  </si>
  <si>
    <t xml:space="preserve"> 7.14.5 </t>
  </si>
  <si>
    <t xml:space="preserve"> 7.14.6 </t>
  </si>
  <si>
    <t xml:space="preserve"> 7.14.7 </t>
  </si>
  <si>
    <t xml:space="preserve"> 7.14.8 </t>
  </si>
  <si>
    <t xml:space="preserve"> 7.14.9 </t>
  </si>
  <si>
    <t xml:space="preserve"> 7.14.10 </t>
  </si>
  <si>
    <t xml:space="preserve"> 7.14.11 </t>
  </si>
  <si>
    <t xml:space="preserve"> 8 </t>
  </si>
  <si>
    <t xml:space="preserve"> 8.2 </t>
  </si>
  <si>
    <t xml:space="preserve"> 8.2.1 </t>
  </si>
  <si>
    <t xml:space="preserve"> 100067 </t>
  </si>
  <si>
    <t>ARMAÇÃO DO SISTEMA DE PAREDES DE CONCRETO, EXECUTADA COMO REFORÇO, VERGALHÃO DE 5,0 MM DE DIÂMETRO. AF_12/2024</t>
  </si>
  <si>
    <t xml:space="preserve"> 8.2.2 </t>
  </si>
  <si>
    <t xml:space="preserve"> 91601 </t>
  </si>
  <si>
    <t>ARMAÇÃO DO SISTEMA DE PAREDES DE CONCRETO, EXECUTADA COMO REFORÇO, VERGALHÃO DE 6,3 MM DE DIÂMETRO. AF_12/2024</t>
  </si>
  <si>
    <t xml:space="preserve"> 8.2.3 </t>
  </si>
  <si>
    <t xml:space="preserve"> 91602 </t>
  </si>
  <si>
    <t>ARMAÇÃO DO SISTEMA DE PAREDES DE CONCRETO, EXECUTADA COMO REFORÇO, VERGALHÃO DE 8,0 MM DE DIÂMETRO. AF_12/2024</t>
  </si>
  <si>
    <t xml:space="preserve"> 8.2.4 </t>
  </si>
  <si>
    <t xml:space="preserve"> 91603 </t>
  </si>
  <si>
    <t>ARMAÇÃO DO SISTEMA DE PAREDES DE CONCRETO, EXECUTADA COMO REFORÇO, VERGALHÃO DE 10,0 MM DE DIÂMETRO. AF_12/2024</t>
  </si>
  <si>
    <t xml:space="preserve"> 8.2.5 </t>
  </si>
  <si>
    <t xml:space="preserve"> 00002368 </t>
  </si>
  <si>
    <t>ARMAÇÃO DE PILAR OU VIGA DE ESTRUTURA CONVENCIONAL DE CONCRETO ARMADO UTILIZANDO AÇO CA-60 DE 6,3 MM - MONTAGEM.</t>
  </si>
  <si>
    <t xml:space="preserve"> 8.2.6 </t>
  </si>
  <si>
    <t xml:space="preserve"> 8.2.7 </t>
  </si>
  <si>
    <t xml:space="preserve"> 8.2.8 </t>
  </si>
  <si>
    <t xml:space="preserve"> 100068 </t>
  </si>
  <si>
    <t>ARMAÇÃO DO SISTEMA DE PAREDES DE CONCRETO, EXECUTADA COMO REFORÇO, VERGALHÃO DE 12,5 MM DE DIÂMETRO. AF_12/2024</t>
  </si>
  <si>
    <t xml:space="preserve"> 8.2.9 </t>
  </si>
  <si>
    <t xml:space="preserve"> 92922 </t>
  </si>
  <si>
    <t>ARMAÇÃO DE ESTRUTURAS DIVERSAS DE CONCRETO ARMADO, EXCETO VIGAS, PILARES, LAJES E FUNDAÇÕES, UTILIZANDO AÇO CA-50 DE 16,0 MM - MONTAGEM. AF_06/2022</t>
  </si>
  <si>
    <t xml:space="preserve"> 8.2.10 </t>
  </si>
  <si>
    <t xml:space="preserve"> 8.2.11 </t>
  </si>
  <si>
    <t xml:space="preserve"> 8.3 </t>
  </si>
  <si>
    <t xml:space="preserve"> 8.3.1 </t>
  </si>
  <si>
    <t xml:space="preserve"> 8.3.2 </t>
  </si>
  <si>
    <t xml:space="preserve"> 93184 </t>
  </si>
  <si>
    <t>VERGA PRÉ-MOLDADA COM ATÉ 1,5 M DE VÃO, ESPESSURA DE *20* CM. AF_03/2024</t>
  </si>
  <si>
    <t xml:space="preserve"> 8.4 </t>
  </si>
  <si>
    <t xml:space="preserve"> 8.4.1 </t>
  </si>
  <si>
    <t xml:space="preserve"> 8.4.2 </t>
  </si>
  <si>
    <t xml:space="preserve"> 8.4.3 </t>
  </si>
  <si>
    <t xml:space="preserve"> 8.4.4 </t>
  </si>
  <si>
    <t xml:space="preserve"> 8.5 </t>
  </si>
  <si>
    <t xml:space="preserve"> 8.5.1 </t>
  </si>
  <si>
    <t xml:space="preserve"> 8.5.2 </t>
  </si>
  <si>
    <t xml:space="preserve"> 8.5.3 </t>
  </si>
  <si>
    <t xml:space="preserve"> 8.5.4 </t>
  </si>
  <si>
    <t xml:space="preserve"> 8.5.5 </t>
  </si>
  <si>
    <t xml:space="preserve"> 8.6 </t>
  </si>
  <si>
    <t xml:space="preserve"> 8.6.1 </t>
  </si>
  <si>
    <t xml:space="preserve"> 8.6.2 </t>
  </si>
  <si>
    <t xml:space="preserve"> 8.6.3 </t>
  </si>
  <si>
    <t xml:space="preserve"> 8.6.4 </t>
  </si>
  <si>
    <t xml:space="preserve"> 8.7 </t>
  </si>
  <si>
    <t xml:space="preserve"> 8.7.1 </t>
  </si>
  <si>
    <t xml:space="preserve"> 8.8 </t>
  </si>
  <si>
    <t xml:space="preserve"> 8.8.1 </t>
  </si>
  <si>
    <t xml:space="preserve"> 8.8.1.1 </t>
  </si>
  <si>
    <t xml:space="preserve"> 8.8.1.2 </t>
  </si>
  <si>
    <t xml:space="preserve"> 8.8.1.3 </t>
  </si>
  <si>
    <t xml:space="preserve"> 94650 </t>
  </si>
  <si>
    <t>TUBO, PVC, SOLDÁVEL, DE 40MM, INSTALADO EM RESERVAÇÃO PREDIAL DE ÁGUA - FORNECIMENTO E INSTALAÇÃO. AF_04/2024</t>
  </si>
  <si>
    <t xml:space="preserve"> 8.8.1.4 </t>
  </si>
  <si>
    <t xml:space="preserve"> 94651 </t>
  </si>
  <si>
    <t>TUBO, PVC, SOLDÁVEL, DE 50MM, INSTALADO EM RESERVAÇÃO PREDIAL DE ÁGUA - FORNECIMENTO E INSTALAÇÃO. AF_04/2024</t>
  </si>
  <si>
    <t xml:space="preserve"> 8.8.1.5 </t>
  </si>
  <si>
    <t xml:space="preserve"> 94653 </t>
  </si>
  <si>
    <t>TUBO, PVC, SOLDÁVEL, DE 75MM, INSTALADO EM RESERVAÇÃO PREDIAL DE ÁGUA - FORNECIMENTO E INSTALAÇÃO. AF_04/2024</t>
  </si>
  <si>
    <t xml:space="preserve"> 8.8.1.6 </t>
  </si>
  <si>
    <t xml:space="preserve"> 00002342 </t>
  </si>
  <si>
    <t>CAP SOLDÁVEL 25 MM, PVC MARROM, ÁGUA FRIA</t>
  </si>
  <si>
    <t xml:space="preserve"> 8.8.1.7 </t>
  </si>
  <si>
    <t xml:space="preserve"> 103957 </t>
  </si>
  <si>
    <t>BUCHA DE REDUÇÃO, CURTA, PVC, SOLDÁVEL, DN 32 X 25 MM, INSTALADO EM PRUMADA DE ÁGUA - FORNECIMENTO E INSTALAÇÃO. AF_06/2022</t>
  </si>
  <si>
    <t xml:space="preserve"> 8.8.1.8 </t>
  </si>
  <si>
    <t xml:space="preserve"> 00002697 </t>
  </si>
  <si>
    <t>Bucha de Redução Soldável Curta 75x50mm, PVC Marrom, Água Fria - Fornecimento e Instalação</t>
  </si>
  <si>
    <t xml:space="preserve"> 8.8.1.9 </t>
  </si>
  <si>
    <t xml:space="preserve"> 8.8.1.10 </t>
  </si>
  <si>
    <t xml:space="preserve"> 94676 </t>
  </si>
  <si>
    <t>JOELHO 90 GRAUS, PVC, SOLDÁVEL, DN 40 MM INSTALADO EM RESERVAÇÃO PREDIAL DE ÁGUA - FORNECIMENTO E INSTALAÇÃO. AF_04/2024</t>
  </si>
  <si>
    <t xml:space="preserve"> 8.8.1.11 </t>
  </si>
  <si>
    <t xml:space="preserve"> 94678 </t>
  </si>
  <si>
    <t>JOELHO 90 GRAUS, PVC, SOLDÁVEL, DN 50 MM INSTALADO EM RESERVAÇÃO PREDIAL DE ÁGUA - FORNECIMENTO E INSTALAÇÃO. AF_04/2024</t>
  </si>
  <si>
    <t xml:space="preserve"> 8.8.1.12 </t>
  </si>
  <si>
    <t xml:space="preserve"> 94682 </t>
  </si>
  <si>
    <t>JOELHO 90 GRAUS, PVC, SOLDÁVEL, DN 75 MM INSTALADO EM RESERVAÇÃO PREDIAL DE ÁGUA - FORNECIMENTO E INSTALAÇÃO. AF_04/2024</t>
  </si>
  <si>
    <t xml:space="preserve"> 8.8.1.13 </t>
  </si>
  <si>
    <t xml:space="preserve"> 94697 </t>
  </si>
  <si>
    <t>TÊ, PVC, SOLDÁVEL, DN 75 MM INSTALADO EM RESERVAÇÃO PREDIAL DE ÁGUA - FORNECIMENTO E INSTALAÇÃO. AF_04/2024</t>
  </si>
  <si>
    <t xml:space="preserve"> 8.8.1.14 </t>
  </si>
  <si>
    <t xml:space="preserve"> 94694 </t>
  </si>
  <si>
    <t>TÊ, PVC, SOLDÁVEL, DN 50 MM INSTALADO EM RESERVAÇÃO PREDIAL DE ÁGUA - FORNECIMENTO E INSTALAÇÃO. AF_04/2024</t>
  </si>
  <si>
    <t xml:space="preserve"> 8.8.1.15 </t>
  </si>
  <si>
    <t xml:space="preserve"> 94692 </t>
  </si>
  <si>
    <t>TÊ, PVC, SOLDÁVEL, DN 40 MM INSTALADO EM RESERVAÇÃO PREDIAL DE ÁGUA - FORNECIMENTO E INSTALAÇÃO. AF_04/2024</t>
  </si>
  <si>
    <t xml:space="preserve"> 8.8.1.16 </t>
  </si>
  <si>
    <t xml:space="preserve"> 94499 </t>
  </si>
  <si>
    <t>REGISTRO DE GAVETA BRUTO, LATÃO, ROSCÁVEL, 2 1/2" - FORNECIMENTO E INSTALAÇÃO. AF_08/2021</t>
  </si>
  <si>
    <t xml:space="preserve"> 8.8.1.17 </t>
  </si>
  <si>
    <t xml:space="preserve"> 94797 </t>
  </si>
  <si>
    <t>TORNEIRA DE BOIA PARA CAIXA D'ÁGUA, ROSCÁVEL, 1" - FORNECIMENTO E INSTALAÇÃO. AF_08/2021</t>
  </si>
  <si>
    <t xml:space="preserve"> 8.8.1.18 </t>
  </si>
  <si>
    <t xml:space="preserve"> 94497 </t>
  </si>
  <si>
    <t>REGISTRO DE GAVETA BRUTO, LATÃO, ROSCÁVEL, 1 1/2" - FORNECIMENTO E INSTALAÇÃO. AF_08/2021</t>
  </si>
  <si>
    <t xml:space="preserve"> 8.8.1.19 </t>
  </si>
  <si>
    <t xml:space="preserve"> 00002626 </t>
  </si>
  <si>
    <t>UNIÃO SOLDÁVEL, 40MM, PVC MARROM, ÁGUA FRIA</t>
  </si>
  <si>
    <t xml:space="preserve"> 8.8.1.20 </t>
  </si>
  <si>
    <t xml:space="preserve"> 00002627 </t>
  </si>
  <si>
    <t>UNIÃO SOLDÁVEL, 50MM, PVC MARROM, ÁGUA FRIA</t>
  </si>
  <si>
    <t xml:space="preserve"> 9 </t>
  </si>
  <si>
    <t xml:space="preserve"> 9.2 </t>
  </si>
  <si>
    <t xml:space="preserve"> 9.2.1 </t>
  </si>
  <si>
    <t xml:space="preserve"> 9.2.2 </t>
  </si>
  <si>
    <t xml:space="preserve"> 9.2.3 </t>
  </si>
  <si>
    <t xml:space="preserve"> 9.2.4 </t>
  </si>
  <si>
    <t xml:space="preserve"> 9.2.5 </t>
  </si>
  <si>
    <t xml:space="preserve"> 9.2.6 </t>
  </si>
  <si>
    <t xml:space="preserve"> 9.2.7 </t>
  </si>
  <si>
    <t xml:space="preserve"> 9.2.8 </t>
  </si>
  <si>
    <t xml:space="preserve"> 9.2.9 </t>
  </si>
  <si>
    <t xml:space="preserve"> 9.2.10 </t>
  </si>
  <si>
    <t xml:space="preserve"> 9.2.11 </t>
  </si>
  <si>
    <t xml:space="preserve"> 9.2.12 </t>
  </si>
  <si>
    <t xml:space="preserve"> 9.2.13 </t>
  </si>
  <si>
    <t xml:space="preserve"> 9.3 </t>
  </si>
  <si>
    <t xml:space="preserve"> 9.3.1 </t>
  </si>
  <si>
    <t xml:space="preserve"> 9.3.2 </t>
  </si>
  <si>
    <t xml:space="preserve"> 9.3.3 </t>
  </si>
  <si>
    <t xml:space="preserve"> 9.3.4 </t>
  </si>
  <si>
    <t xml:space="preserve"> 9.3.5 </t>
  </si>
  <si>
    <t xml:space="preserve"> 9.4 </t>
  </si>
  <si>
    <t xml:space="preserve"> 9.4.1 </t>
  </si>
  <si>
    <t xml:space="preserve"> 9.4.2 </t>
  </si>
  <si>
    <t xml:space="preserve"> 9.4.3 </t>
  </si>
  <si>
    <t xml:space="preserve"> 9.4.4 </t>
  </si>
  <si>
    <t xml:space="preserve"> 9.5 </t>
  </si>
  <si>
    <t xml:space="preserve"> 9.5.1 </t>
  </si>
  <si>
    <t xml:space="preserve"> 9.5.2 </t>
  </si>
  <si>
    <t xml:space="preserve"> 9.5.3 </t>
  </si>
  <si>
    <t xml:space="preserve"> 9.5.4 </t>
  </si>
  <si>
    <t xml:space="preserve"> 9.5.5 </t>
  </si>
  <si>
    <t xml:space="preserve"> 9.5.6 </t>
  </si>
  <si>
    <t xml:space="preserve"> 9.5.7 </t>
  </si>
  <si>
    <t xml:space="preserve"> 9.5.8 </t>
  </si>
  <si>
    <t xml:space="preserve"> 9.6 </t>
  </si>
  <si>
    <t xml:space="preserve"> 9.6.1 </t>
  </si>
  <si>
    <t xml:space="preserve"> 9.6.2 </t>
  </si>
  <si>
    <t xml:space="preserve"> 9.6.3 </t>
  </si>
  <si>
    <t xml:space="preserve"> 9.6.4 </t>
  </si>
  <si>
    <t xml:space="preserve"> 9.6.5 </t>
  </si>
  <si>
    <t xml:space="preserve"> 9.6.6 </t>
  </si>
  <si>
    <t xml:space="preserve"> 9.7 </t>
  </si>
  <si>
    <t xml:space="preserve"> 9.7.1 </t>
  </si>
  <si>
    <t xml:space="preserve"> 9.8 </t>
  </si>
  <si>
    <t xml:space="preserve"> 9.8.1 </t>
  </si>
  <si>
    <t xml:space="preserve"> 9.8.2 </t>
  </si>
  <si>
    <t xml:space="preserve"> 9.8.3 </t>
  </si>
  <si>
    <t xml:space="preserve"> 100674 </t>
  </si>
  <si>
    <t>CAIXILHO FIXO DE ALUMÍNIO PARA VIDRO (VIDRO INCLUSO), BATENTE/ REQUADRO DE 4 A 14 CM, SEM GUARNIÇÃO/ ALIZAR, FIXAÇÃO COM PARAFUSOS, VEDAÇÃO COM SILICONE, EXCLUSIVE CONTRAMARCO - FORNECIMENTO E INSTALAÇÃO. AF_11/2024</t>
  </si>
  <si>
    <t xml:space="preserve"> 9.8.4 </t>
  </si>
  <si>
    <t xml:space="preserve"> 94570 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</si>
  <si>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</si>
  <si>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 xml:space="preserve"> 9.8.5 </t>
  </si>
  <si>
    <t xml:space="preserve"> 9.8.6 </t>
  </si>
  <si>
    <t xml:space="preserve"> 9.8.7 </t>
  </si>
  <si>
    <t xml:space="preserve"> 9.8.8 </t>
  </si>
  <si>
    <t xml:space="preserve"> 9.9 </t>
  </si>
  <si>
    <t xml:space="preserve"> 9.9.1 </t>
  </si>
  <si>
    <t xml:space="preserve"> 9.9.2 </t>
  </si>
  <si>
    <t xml:space="preserve"> 9.9.3 </t>
  </si>
  <si>
    <t xml:space="preserve"> 9.9.4 </t>
  </si>
  <si>
    <t xml:space="preserve"> 9.9.5 </t>
  </si>
  <si>
    <t xml:space="preserve"> 9.9.6 </t>
  </si>
  <si>
    <t xml:space="preserve"> 9.10 </t>
  </si>
  <si>
    <t xml:space="preserve"> 9.10.1 </t>
  </si>
  <si>
    <t xml:space="preserve"> 86931 </t>
  </si>
  <si>
    <t>VASO SANITÁRIO SIFONADO COM CAIXA ACOPLADA LOUÇA BRANCA, INCLUSO ENGATE FLEXÍVEL EM PLÁSTICO BRANCO, 1/2 X 40CM - FORNECIMENTO E INSTALAÇÃO. AF_01/2020</t>
  </si>
  <si>
    <t xml:space="preserve"> 9.10.2 </t>
  </si>
  <si>
    <t xml:space="preserve"> 9.10.3 </t>
  </si>
  <si>
    <t xml:space="preserve"> 9.10.4 </t>
  </si>
  <si>
    <t xml:space="preserve"> 9.10.5 </t>
  </si>
  <si>
    <t xml:space="preserve"> 9.10.6 </t>
  </si>
  <si>
    <t xml:space="preserve"> 9.10.7 </t>
  </si>
  <si>
    <t xml:space="preserve"> 9.10.8 </t>
  </si>
  <si>
    <t xml:space="preserve"> 9.10.9 </t>
  </si>
  <si>
    <t xml:space="preserve"> 9.10.10 </t>
  </si>
  <si>
    <t xml:space="preserve"> 9.10.11 </t>
  </si>
  <si>
    <t xml:space="preserve"> 0000378 </t>
  </si>
  <si>
    <t>PORTA OBJETO DE VIDRO</t>
  </si>
  <si>
    <t xml:space="preserve"> 9.10.12 </t>
  </si>
  <si>
    <t xml:space="preserve"> 9.10.13 </t>
  </si>
  <si>
    <t xml:space="preserve"> 9.11 </t>
  </si>
  <si>
    <t xml:space="preserve"> 9.11.1 </t>
  </si>
  <si>
    <t xml:space="preserve"> 9.11.1.1 </t>
  </si>
  <si>
    <t xml:space="preserve"> 9.11.1.2 </t>
  </si>
  <si>
    <t xml:space="preserve"> 9.11.1.3 </t>
  </si>
  <si>
    <t xml:space="preserve"> 9.11.1.4 </t>
  </si>
  <si>
    <t xml:space="preserve"> 103947 </t>
  </si>
  <si>
    <t>BUCHA DE REDUÇÃO, CURTA, PVC, SOLDÁVEL, DN 25 X 20 MM, INSTALADO EM RAMAL OU SUB-RAMAL DE ÁGUA - FORNECIMENTO E INSTALAÇÃO. AF_06/2022</t>
  </si>
  <si>
    <t xml:space="preserve"> 9.11.1.5 </t>
  </si>
  <si>
    <t xml:space="preserve"> 9.11.1.6 </t>
  </si>
  <si>
    <t xml:space="preserve"> 9.11.1.7 </t>
  </si>
  <si>
    <t xml:space="preserve"> 9.11.1.8 </t>
  </si>
  <si>
    <t xml:space="preserve"> 89358 </t>
  </si>
  <si>
    <t>JOELHO 90 GRAUS, PVC, SOLDÁVEL, DN 20MM, INSTALADO EM RAMAL OU SUB-RAMAL DE ÁGUA - FORNECIMENTO E INSTALAÇÃO. AF_06/2022</t>
  </si>
  <si>
    <t xml:space="preserve"> 9.11.1.9 </t>
  </si>
  <si>
    <t xml:space="preserve"> 9.11.1.10 </t>
  </si>
  <si>
    <t xml:space="preserve"> 9.11.1.11 </t>
  </si>
  <si>
    <t xml:space="preserve"> 89352 </t>
  </si>
  <si>
    <t>REGISTRO DE GAVETA BRUTO, LATÃO, ROSCÁVEL, 1/2" - FORNECIMENTO E INSTALAÇÃO. AF_08/2021</t>
  </si>
  <si>
    <t xml:space="preserve"> 9.11.1.12 </t>
  </si>
  <si>
    <t xml:space="preserve"> 89393 </t>
  </si>
  <si>
    <t>TE, PVC, SOLDÁVEL, DN 20MM, INSTALADO EM RAMAL OU SUB-RAMAL DE ÁGUA - FORNECIMENTO E INSTALAÇÃO. AF_06/2022</t>
  </si>
  <si>
    <t xml:space="preserve"> 9.11.1.13 </t>
  </si>
  <si>
    <t xml:space="preserve"> 9.11.2 </t>
  </si>
  <si>
    <t xml:space="preserve"> 9.11.2.1 </t>
  </si>
  <si>
    <t xml:space="preserve"> 9.11.2.2 </t>
  </si>
  <si>
    <t xml:space="preserve"> 9.11.2.3 </t>
  </si>
  <si>
    <t xml:space="preserve"> 9.11.2.4 </t>
  </si>
  <si>
    <t xml:space="preserve"> 9.11.2.5 </t>
  </si>
  <si>
    <t xml:space="preserve"> 9.11.2.6 </t>
  </si>
  <si>
    <t xml:space="preserve"> 9.11.2.7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</si>
  <si>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</si>
  <si>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</si>
  <si>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9.11.2.8 </t>
  </si>
  <si>
    <t xml:space="preserve"> 9.11.2.9 </t>
  </si>
  <si>
    <t xml:space="preserve"> 9.11.3 </t>
  </si>
  <si>
    <t xml:space="preserve"> 9.11.3.1 </t>
  </si>
  <si>
    <t xml:space="preserve"> 9.11.3.2 </t>
  </si>
  <si>
    <t xml:space="preserve"> 9.11.3.3 </t>
  </si>
  <si>
    <t xml:space="preserve"> 9.11.3.4 </t>
  </si>
  <si>
    <t xml:space="preserve"> 9.11.3.5 </t>
  </si>
  <si>
    <t xml:space="preserve"> 9.11.3.6 </t>
  </si>
  <si>
    <t xml:space="preserve"> 9.11.3.7 </t>
  </si>
  <si>
    <t xml:space="preserve"> 89509 </t>
  </si>
  <si>
    <t>TUBO PVC, SÉRIE R, ÁGUA PLUVIAL, DN 50 MM, FORNECIDO E INSTALADO EM RAMAL DE ENCAMINHAMENTO. AF_06/2022</t>
  </si>
  <si>
    <t xml:space="preserve"> 9.13 </t>
  </si>
  <si>
    <t xml:space="preserve"> 9.13.1 </t>
  </si>
  <si>
    <t xml:space="preserve"> 103244 </t>
  </si>
  <si>
    <t>AR CONDICIONADO SPLIT INVERTER, HI-WALL (PAREDE), 9000 BTU/H, CICLO FRIO - FORNECIMENTO E INSTALAÇÃO. AF_11/2021_PE</t>
  </si>
  <si>
    <t xml:space="preserve"> 9.13.2 </t>
  </si>
  <si>
    <t xml:space="preserve"> 9.13.3 </t>
  </si>
  <si>
    <t xml:space="preserve"> 9.13.4 </t>
  </si>
  <si>
    <t xml:space="preserve"> 00000590 </t>
  </si>
  <si>
    <t>FORNECIMENTO E INSTALAÇÃO DE RENOVADOR DE AR SPLITVENT COM FILTRO CLASSE G4, VAZÃO DE AR 93 M3/H, INCLUSIVE SUPORTES, APOIOS E FIXAÇÕES.</t>
  </si>
  <si>
    <t xml:space="preserve"> 9.13.5 </t>
  </si>
  <si>
    <t xml:space="preserve"> 9.13.6 </t>
  </si>
  <si>
    <t xml:space="preserve"> 9.13.7 </t>
  </si>
  <si>
    <t xml:space="preserve"> 9.13.8 </t>
  </si>
  <si>
    <t xml:space="preserve"> 10 </t>
  </si>
  <si>
    <t xml:space="preserve"> 10.2 </t>
  </si>
  <si>
    <t xml:space="preserve"> 10.2.1 </t>
  </si>
  <si>
    <t xml:space="preserve"> 10.2.2 </t>
  </si>
  <si>
    <t xml:space="preserve"> 10.2.3 </t>
  </si>
  <si>
    <t xml:space="preserve"> 10.2.4 </t>
  </si>
  <si>
    <t xml:space="preserve"> 10.2.5 </t>
  </si>
  <si>
    <t xml:space="preserve"> 95943 </t>
  </si>
  <si>
    <t>ARMAÇÃO DE ESCADA, DE UMA ESTRUTURA CONVENCIONAL DE CONCRETO ARMADO UTILIZANDO AÇO CA-60 DE 5,0 MM - MONTAGEM. AF_11/2020</t>
  </si>
  <si>
    <t xml:space="preserve"> 10.2.6 </t>
  </si>
  <si>
    <t xml:space="preserve"> 10.2.7 </t>
  </si>
  <si>
    <t xml:space="preserve"> 10.2.8 </t>
  </si>
  <si>
    <t xml:space="preserve"> 10.2.9 </t>
  </si>
  <si>
    <t xml:space="preserve"> 95944 </t>
  </si>
  <si>
    <t>ARMAÇÃO DE ESCADA, DE UMA ESTRUTURA CONVENCIONAL DE CONCRETO ARMADO UTILIZANDO AÇO CA-50 DE 6,3 MM - MONTAGEM. AF_11/2020</t>
  </si>
  <si>
    <t xml:space="preserve"> 10.2.10 </t>
  </si>
  <si>
    <t xml:space="preserve"> 95945 </t>
  </si>
  <si>
    <t>ARMAÇÃO DE ESCADA, DE UMA ESTRUTURA CONVENCIONAL DE CONCRETO ARMADO UTILIZANDO AÇO CA-50 DE 8,0 MM - MONTAGEM. AF_11/2020</t>
  </si>
  <si>
    <t xml:space="preserve"> 10.2.11 </t>
  </si>
  <si>
    <t xml:space="preserve"> 95947 </t>
  </si>
  <si>
    <t>ARMAÇÃO DE ESCADA, DE UMA ESTRUTURA CONVENCIONAL DE CONCRETO ARMADO UTILIZANDO AÇO CA-50 DE 12,5 MM - MONTAGEM. AF_11/2020</t>
  </si>
  <si>
    <t xml:space="preserve"> 10.2.12 </t>
  </si>
  <si>
    <t xml:space="preserve"> 10.2.13 </t>
  </si>
  <si>
    <t xml:space="preserve"> 102039 </t>
  </si>
  <si>
    <t>MONTAGEM E DESMONTAGEM DE FÔRMA PARA ESCADAS, COM 1 LANCE E LAJE PLANA, EM MADEIRA SERRADA, 1 UTILIZAÇÃO. AF_11/2020</t>
  </si>
  <si>
    <t xml:space="preserve"> 10.2.14 </t>
  </si>
  <si>
    <t xml:space="preserve"> 92526 </t>
  </si>
  <si>
    <t>MONTAGEM E DESMONTAGEM DE FÔRMA DE LAJE MACIÇA, PÉ-DIREITO SIMPLES, EM CHAPA DE MADEIRA COMPENSADA PLASTIFICADA, 10 UTILIZAÇÕES. AF_09/2020</t>
  </si>
  <si>
    <t xml:space="preserve"> 10.2.15 </t>
  </si>
  <si>
    <t xml:space="preserve"> 94342 </t>
  </si>
  <si>
    <t>ATERRO MANUAL DE VALAS COM AREIA PARA ATERRO. AF_08/2023</t>
  </si>
  <si>
    <t xml:space="preserve"> 10.2.16 </t>
  </si>
  <si>
    <t xml:space="preserve"> 10.2.17 </t>
  </si>
  <si>
    <t xml:space="preserve"> 98577 </t>
  </si>
  <si>
    <t>TRATAMENTO DE JUNTA SERRADA, COM TARUGO DE POLIETILENO E SELANTE À BASE DE SILICONE. AF_09/2023</t>
  </si>
  <si>
    <t xml:space="preserve"> 10.2.18 </t>
  </si>
  <si>
    <t xml:space="preserve"> 10.2.19 </t>
  </si>
  <si>
    <t xml:space="preserve"> 10.2.20 </t>
  </si>
  <si>
    <t xml:space="preserve"> 10.3 </t>
  </si>
  <si>
    <t xml:space="preserve"> 10.3.1 </t>
  </si>
  <si>
    <t xml:space="preserve"> 10.3.2 </t>
  </si>
  <si>
    <t xml:space="preserve"> 102257 </t>
  </si>
  <si>
    <t>DIVISORIA SANITÁRIA, TIPO CABINE, EM PAINEL DE GRANILITE, ESP = 3CM, ASSENTADO COM ARGAMASSA COLANTE AC III-E, EXCLUSIVE FERRAGENS. AF_01/2021</t>
  </si>
  <si>
    <t xml:space="preserve"> 10.3.3 </t>
  </si>
  <si>
    <t xml:space="preserve"> 10.3.4 </t>
  </si>
  <si>
    <t xml:space="preserve"> 10.3.5 </t>
  </si>
  <si>
    <t xml:space="preserve"> 10.3.6 </t>
  </si>
  <si>
    <t xml:space="preserve"> 10.3.7 </t>
  </si>
  <si>
    <t xml:space="preserve"> 101166 </t>
  </si>
  <si>
    <t>ALVENARIA DE EMBASAMENTO COM BLOCO ESTRUTURAL DE CERÂMICA, DE 14X19X29CM E ARGAMASSA DE ASSENTAMENTO COM PREPARO EM BETONEIRA. AF_05/2020</t>
  </si>
  <si>
    <t xml:space="preserve"> 10.4 </t>
  </si>
  <si>
    <t xml:space="preserve"> 10.4.1 </t>
  </si>
  <si>
    <t xml:space="preserve"> 10.4.2 </t>
  </si>
  <si>
    <t xml:space="preserve"> 10.4.3 </t>
  </si>
  <si>
    <t xml:space="preserve"> 00005343 </t>
  </si>
  <si>
    <t>ESTRUTURA METALICA EM AÇO TRELICADO - MONTAGEM E INSTALAÇÃO.</t>
  </si>
  <si>
    <t xml:space="preserve"> 10.5 </t>
  </si>
  <si>
    <t xml:space="preserve"> 10.5.1 </t>
  </si>
  <si>
    <t xml:space="preserve"> 10.5.2 </t>
  </si>
  <si>
    <t xml:space="preserve"> 10.6 </t>
  </si>
  <si>
    <t xml:space="preserve"> 10.6.1 </t>
  </si>
  <si>
    <t xml:space="preserve"> 10.6.2 </t>
  </si>
  <si>
    <t xml:space="preserve"> 10.6.3 </t>
  </si>
  <si>
    <t xml:space="preserve"> 10.6.4 </t>
  </si>
  <si>
    <t xml:space="preserve"> 10.6.5 </t>
  </si>
  <si>
    <t xml:space="preserve"> 102494 </t>
  </si>
  <si>
    <t>PINTURA DE PISO COM TINTA EPÓXI, APLICAÇÃO MANUAL, 2 DEMÃOS, INCLUSO PRIMER EPÓXI. AF_05/2021</t>
  </si>
  <si>
    <t xml:space="preserve"> 10.6.6 </t>
  </si>
  <si>
    <t xml:space="preserve"> 10.6.7 </t>
  </si>
  <si>
    <t xml:space="preserve"> 10.6.8 </t>
  </si>
  <si>
    <t xml:space="preserve"> 10.7 </t>
  </si>
  <si>
    <t xml:space="preserve"> 10.7.1 </t>
  </si>
  <si>
    <t xml:space="preserve"> 10.7.2 </t>
  </si>
  <si>
    <t xml:space="preserve"> 10.7.3 </t>
  </si>
  <si>
    <t xml:space="preserve"> 10.7.4 </t>
  </si>
  <si>
    <t xml:space="preserve"> 10.7.5 </t>
  </si>
  <si>
    <t xml:space="preserve"> 10.7.6 </t>
  </si>
  <si>
    <t xml:space="preserve"> 10.8 </t>
  </si>
  <si>
    <t xml:space="preserve"> 10.8.1 </t>
  </si>
  <si>
    <t xml:space="preserve"> 10.8.2 </t>
  </si>
  <si>
    <t xml:space="preserve"> 10.8.3 </t>
  </si>
  <si>
    <t xml:space="preserve"> 10.8.4 </t>
  </si>
  <si>
    <t xml:space="preserve"> 10.8.5 </t>
  </si>
  <si>
    <t xml:space="preserve"> 10.8.6 </t>
  </si>
  <si>
    <t xml:space="preserve"> 10.8.7 </t>
  </si>
  <si>
    <t xml:space="preserve"> 10.8.8 </t>
  </si>
  <si>
    <t xml:space="preserve"> 10.9 </t>
  </si>
  <si>
    <t xml:space="preserve"> 10.9.1 </t>
  </si>
  <si>
    <t xml:space="preserve"> 10.9.2 </t>
  </si>
  <si>
    <t xml:space="preserve"> 86901 </t>
  </si>
  <si>
    <t>CUBA DE EMBUTIR OVAL EM LOUÇA BRANCA, 35 X 50CM OU EQUIVALENTE - FORNECIMENTO E INSTALAÇÃO. AF_01/2020</t>
  </si>
  <si>
    <t xml:space="preserve"> 10.9.3 </t>
  </si>
  <si>
    <t xml:space="preserve"> 86904 </t>
  </si>
  <si>
    <t>LAVATÓRIO LOUÇA BRANCA SUSPENSO, 29,5 X 39CM OU EQUIVALENTE, PADRÃO POPULAR - FORNECIMENTO E INSTALAÇÃO. AF_01/2020</t>
  </si>
  <si>
    <t xml:space="preserve"> 10.9.4 </t>
  </si>
  <si>
    <t xml:space="preserve"> 10.9.5 </t>
  </si>
  <si>
    <t xml:space="preserve"> 10.9.6 </t>
  </si>
  <si>
    <t xml:space="preserve"> 10.9.7 </t>
  </si>
  <si>
    <t xml:space="preserve"> 100866 </t>
  </si>
  <si>
    <t>BARRA DE APOIO RETA, EM ACO INOX POLIDO, COMPRIMENTO 60CM, FIXADA NA PAREDE - FORNECIMENTO E INSTALAÇÃO. AF_01/2020</t>
  </si>
  <si>
    <t xml:space="preserve"> 10.9.8 </t>
  </si>
  <si>
    <t xml:space="preserve"> 100867 </t>
  </si>
  <si>
    <t>BARRA DE APOIO RETA, EM ACO INOX POLIDO, COMPRIMENTO 70 CM, FIXADA NA PAREDE - FORNECIMENTO E INSTALAÇÃO. AF_01/2020</t>
  </si>
  <si>
    <t xml:space="preserve"> 10.9.9 </t>
  </si>
  <si>
    <t xml:space="preserve"> 100868 </t>
  </si>
  <si>
    <t>BARRA DE APOIO RETA, EM ACO INOX POLIDO, COMPRIMENTO 80 CM, FIXADA NA PAREDE - FORNECIMENTO E INSTALAÇÃO. AF_01/2020</t>
  </si>
  <si>
    <t xml:space="preserve"> 10.9.10 </t>
  </si>
  <si>
    <t xml:space="preserve"> 100875 </t>
  </si>
  <si>
    <t>BANCO ARTICULADO, EM ACO INOX, PARA PCD, FIXADO NA PAREDE - FORNECIMENTO E INSTALAÇÃO. AF_01/2020</t>
  </si>
  <si>
    <t xml:space="preserve"> 10.9.11 </t>
  </si>
  <si>
    <t xml:space="preserve"> 10.9.12 </t>
  </si>
  <si>
    <t xml:space="preserve"> 10.9.13 </t>
  </si>
  <si>
    <t xml:space="preserve"> 10.9.14 </t>
  </si>
  <si>
    <t xml:space="preserve"> 10.9.15 </t>
  </si>
  <si>
    <t xml:space="preserve"> 10.9.16 </t>
  </si>
  <si>
    <t xml:space="preserve"> 10.9.17 </t>
  </si>
  <si>
    <t xml:space="preserve"> 10.9.18 </t>
  </si>
  <si>
    <t xml:space="preserve"> 10.9.19 </t>
  </si>
  <si>
    <t xml:space="preserve"> 103769 </t>
  </si>
  <si>
    <t>PAR DE TABELAS DE BASQUETE DE COMPENSADO NAVAL, COM AROS E REDES - FORNECIMENTO E INSTALAÇÃO. AF_03/2022</t>
  </si>
  <si>
    <t xml:space="preserve"> 10.9.20 </t>
  </si>
  <si>
    <t xml:space="preserve"> 00005336 </t>
  </si>
  <si>
    <t>PAR DE TRAVES E REDES DE FUTSAL - FORNECIMENTO E INSTALAÇÃO.</t>
  </si>
  <si>
    <t xml:space="preserve"> 10.9.21 </t>
  </si>
  <si>
    <t xml:space="preserve"> 10.9.22 </t>
  </si>
  <si>
    <t xml:space="preserve"> 10.10 </t>
  </si>
  <si>
    <t xml:space="preserve"> 10.10.1 </t>
  </si>
  <si>
    <t xml:space="preserve"> 10.10.1.1 </t>
  </si>
  <si>
    <t xml:space="preserve"> 105230 </t>
  </si>
  <si>
    <t>BUCHA DE REDUÇÃO, PPR, DN 25 X 20 MM, INSTALADO EM RESERVAÇÃO PREDIAL DE ÁGUA - FORNECIMENTO E INSTALAÇÃO. AF_04/2024</t>
  </si>
  <si>
    <t xml:space="preserve"> 10.10.1.2 </t>
  </si>
  <si>
    <t xml:space="preserve"> 96702 </t>
  </si>
  <si>
    <t>BUCHA DE REDUÇÃO, PPR, 32 X 25, CLASSE PN 25, INSTALADO EM PRUMADA DE ÁGUA FORNECIMENTO E INSTALAÇÃO . AF_08/2022</t>
  </si>
  <si>
    <t xml:space="preserve"> 10.10.1.3 </t>
  </si>
  <si>
    <t xml:space="preserve"> 103993 </t>
  </si>
  <si>
    <t>BUCHA DE REDUÇÃO, PVC, SOLDÁVEL, DN 40MM X 32MM, INSTALADO EM RAMAL DE DISTRIBUIÇÃO DE ÁGUA - FORNECIMENTO E INSTALAÇÃO. AF_06/2022</t>
  </si>
  <si>
    <t xml:space="preserve"> 10.10.1.4 </t>
  </si>
  <si>
    <t xml:space="preserve"> 10.10.1.5 </t>
  </si>
  <si>
    <t xml:space="preserve"> 10.10.1.6 </t>
  </si>
  <si>
    <t xml:space="preserve"> 10.10.1.7 </t>
  </si>
  <si>
    <t xml:space="preserve"> 10.10.1.8 </t>
  </si>
  <si>
    <t xml:space="preserve"> 10.10.1.9 </t>
  </si>
  <si>
    <t xml:space="preserve"> 10.10.1.10 </t>
  </si>
  <si>
    <t xml:space="preserve"> 10.10.1.11 </t>
  </si>
  <si>
    <t xml:space="preserve"> 89624 </t>
  </si>
  <si>
    <t>TÊ DE REDUÇÃO, PVC, SOLDÁVEL, DN 40MM X 32MM, INSTALADO EM PRUMADA DE ÁGUA - FORNECIMENTO E INSTALAÇÃO. AF_06/2022</t>
  </si>
  <si>
    <t xml:space="preserve"> 10.10.1.12 </t>
  </si>
  <si>
    <t xml:space="preserve"> 10.10.1.13 </t>
  </si>
  <si>
    <t xml:space="preserve"> 105189 </t>
  </si>
  <si>
    <t>TE DE REDUÇÃO, PVC, SOLDÁVEL, 90 GRAUS, DN 50 MM X 25 MM, INSTALADO EM RESERVAÇÃO PREDIAL DE ÁGUA - FORNECIMENTO E INSTALAÇÃO. AF_04/2024</t>
  </si>
  <si>
    <t xml:space="preserve"> 10.10.1.14 </t>
  </si>
  <si>
    <t xml:space="preserve"> 10.10.1.15 </t>
  </si>
  <si>
    <t xml:space="preserve"> 10.10.1.16 </t>
  </si>
  <si>
    <t xml:space="preserve"> 10.10.1.17 </t>
  </si>
  <si>
    <t xml:space="preserve"> 10.10.1.18 </t>
  </si>
  <si>
    <t xml:space="preserve"> 10.10.1.19 </t>
  </si>
  <si>
    <t xml:space="preserve"> 10.10.1.20 </t>
  </si>
  <si>
    <t xml:space="preserve"> 94796 </t>
  </si>
  <si>
    <t>TORNEIRA DE BOIA PARA CAIXA D'ÁGUA, ROSCÁVEL, 3/4" - FORNECIMENTO E INSTALAÇÃO. AF_08/2021</t>
  </si>
  <si>
    <t xml:space="preserve"> 10.10.1.21 </t>
  </si>
  <si>
    <t xml:space="preserve"> 10.10.1.22 </t>
  </si>
  <si>
    <t xml:space="preserve"> 102607 </t>
  </si>
  <si>
    <t>CAIXA D´ÁGUA EM POLIETILENO, 1000 LITROS - FORNECIMENTO E INSTALAÇÃO. AF_06/2021</t>
  </si>
  <si>
    <t xml:space="preserve"> 10.10.1.23 </t>
  </si>
  <si>
    <t xml:space="preserve"> 89449 </t>
  </si>
  <si>
    <t>TUBO, PVC, SOLDÁVEL, DE 50MM, INSTALADO EM PRUMADA DE ÁGUA - FORNECIMENTO E INSTALAÇÃO. AF_06/2022</t>
  </si>
  <si>
    <t xml:space="preserve"> 10.10.1.24 </t>
  </si>
  <si>
    <t xml:space="preserve"> 104315 </t>
  </si>
  <si>
    <t>TUBO, PVC, SOLDÁVEL, DE 20MM, INSTALADO EM DRENO DE AR CONDICIONADO - FORNECIMENTO E INSTALAÇÃO. AF_08/2022</t>
  </si>
  <si>
    <t xml:space="preserve"> 10.10.1.25 </t>
  </si>
  <si>
    <t xml:space="preserve"> 94648 </t>
  </si>
  <si>
    <t>TUBO, PVC, SOLDÁVEL, DE 25MM, INSTALADO EM RESERVAÇÃO PREDIAL DE ÁGUA - FORNECIMENTO E INSTALAÇÃO. AF_04/2024</t>
  </si>
  <si>
    <t xml:space="preserve"> 10.10.1.26 </t>
  </si>
  <si>
    <t xml:space="preserve"> 89447 </t>
  </si>
  <si>
    <t>TUBO, PVC, SOLDÁVEL, DE 32MM, INSTALADO EM PRUMADA DE ÁGUA - FORNECIMENTO E INSTALAÇÃO. AF_06/2022</t>
  </si>
  <si>
    <t xml:space="preserve"> 10.10.1.27 </t>
  </si>
  <si>
    <t xml:space="preserve"> 89448 </t>
  </si>
  <si>
    <t>TUBO, PVC, SOLDÁVEL, DE 40MM, INSTALADO EM PRUMADA DE ÁGUA - FORNECIMENTO E INSTALAÇÃO. AF_06/2022</t>
  </si>
  <si>
    <t xml:space="preserve"> 10.10.2 </t>
  </si>
  <si>
    <t xml:space="preserve"> 10.10.2.1 </t>
  </si>
  <si>
    <t xml:space="preserve"> 10.10.2.2 </t>
  </si>
  <si>
    <t xml:space="preserve"> 10.10.2.3 </t>
  </si>
  <si>
    <t xml:space="preserve"> 10.10.2.4 </t>
  </si>
  <si>
    <t xml:space="preserve"> 10.10.2.5 </t>
  </si>
  <si>
    <t xml:space="preserve"> 10.10.2.6 </t>
  </si>
  <si>
    <t xml:space="preserve"> 10.10.2.7 </t>
  </si>
  <si>
    <t xml:space="preserve"> 102711 </t>
  </si>
  <si>
    <t>JUNÇÃO DUPLA DE PVC, SÉRIE NORMAL, PARA ESGOTO PREDIAL, DN 100 X 100 X 100 MM, INSTALADA EM DRENO - FORNECIMENTO E INSTALAÇÃO. AF_07/2021</t>
  </si>
  <si>
    <t xml:space="preserve"> 10.10.2.8 </t>
  </si>
  <si>
    <t xml:space="preserve"> 89574 </t>
  </si>
  <si>
    <t>JUNÇÃO DUPLA, PVC, SERIE R, ÁGUA PLUVIAL, DN 100 X 100 X 100 MM, JUNTA ELÁSTICA, FORNECIDO E INSTALADO EM RAMAL DE ENCAMINHAMENTO. AF_06/2022</t>
  </si>
  <si>
    <t xml:space="preserve"> 10.10.2.9 </t>
  </si>
  <si>
    <t xml:space="preserve"> 10.10.2.10 </t>
  </si>
  <si>
    <t xml:space="preserve"> 10.10.2.11 </t>
  </si>
  <si>
    <t xml:space="preserve"> 10.10.2.12 </t>
  </si>
  <si>
    <t xml:space="preserve"> 10.10.2.13 </t>
  </si>
  <si>
    <t xml:space="preserve"> 00001361 </t>
  </si>
  <si>
    <t>JUNÇÃO SIMPLES, PVC, SERIE NORMAL, ESGOTO PREDIAL, DN 100 X 50 MM, JUNTA ELÁSTICA, FORNECIDO E INSTALADO EM RAMAL DE DESCARGA OU RAMAL DE ESGOTO SANITÁRIO.</t>
  </si>
  <si>
    <t xml:space="preserve"> 10.10.2.14 </t>
  </si>
  <si>
    <t xml:space="preserve"> 10.10.2.15 </t>
  </si>
  <si>
    <t xml:space="preserve"> 10.10.2.16 </t>
  </si>
  <si>
    <t xml:space="preserve"> 10.10.2.17 </t>
  </si>
  <si>
    <t xml:space="preserve"> 00001123 </t>
  </si>
  <si>
    <t>REDUÇÃO EXCÊNTRICA, PVC, SERIE R, ÁGUA PLUVIAL, DN 100 X 50 MM, JUNTA ELÁSTICA, FORNECIDO E INSTALADO EM RAMAL DE ENCAMINHAMENTO. AF_06/2022</t>
  </si>
  <si>
    <t xml:space="preserve"> 10.10.2.18 </t>
  </si>
  <si>
    <t xml:space="preserve"> 10.10.2.19 </t>
  </si>
  <si>
    <t xml:space="preserve"> 10.10.3 </t>
  </si>
  <si>
    <t>ÁGUAS PLUVIAIS/ DRENO AR CONDICIONADO</t>
  </si>
  <si>
    <t xml:space="preserve"> 10.10.3.1 </t>
  </si>
  <si>
    <t xml:space="preserve"> 10.10.3.2 </t>
  </si>
  <si>
    <t xml:space="preserve"> 10.10.3.3 </t>
  </si>
  <si>
    <t xml:space="preserve"> 10.10.3.4 </t>
  </si>
  <si>
    <t xml:space="preserve"> 10.10.3.5 </t>
  </si>
  <si>
    <t xml:space="preserve"> 10.10.3.6 </t>
  </si>
  <si>
    <t xml:space="preserve"> 10.12 </t>
  </si>
  <si>
    <t xml:space="preserve"> 10.12.1 </t>
  </si>
  <si>
    <t xml:space="preserve"> 10.12.2 </t>
  </si>
  <si>
    <t xml:space="preserve"> 10.12.3 </t>
  </si>
  <si>
    <t xml:space="preserve"> 10.12.4 </t>
  </si>
  <si>
    <t xml:space="preserve"> 10.12.5 </t>
  </si>
  <si>
    <t xml:space="preserve"> 10.12.6 </t>
  </si>
  <si>
    <t xml:space="preserve"> 10.12.7 </t>
  </si>
  <si>
    <t xml:space="preserve"> 10.12.8 </t>
  </si>
  <si>
    <t xml:space="preserve"> 12 </t>
  </si>
  <si>
    <t xml:space="preserve"> 12.1 </t>
  </si>
  <si>
    <t xml:space="preserve"> 103297 </t>
  </si>
  <si>
    <t>INSTALAÇÃO DE BANCO PRÉ-FABRICADO DE CONCRETO SEM ENCOSTO, DIMENSÕES 115 CM X 50 CM X 45 CM, SOBRE SOLO. AF_11/2021</t>
  </si>
  <si>
    <t xml:space="preserve"> 12.2 </t>
  </si>
  <si>
    <t xml:space="preserve"> 12.3 </t>
  </si>
  <si>
    <t xml:space="preserve"> 94319 </t>
  </si>
  <si>
    <t>ATERRO MANUAL DE VALAS COM SOLO ARGILO-ARENOSO. AF_08/2023</t>
  </si>
  <si>
    <t xml:space="preserve"> 12.4 </t>
  </si>
  <si>
    <t xml:space="preserve"> 12.5 </t>
  </si>
  <si>
    <t xml:space="preserve"> 12.6 </t>
  </si>
  <si>
    <t xml:space="preserve"> 13 </t>
  </si>
  <si>
    <t xml:space="preserve"> 13.2 </t>
  </si>
  <si>
    <t xml:space="preserve"> 13.2.1 </t>
  </si>
  <si>
    <t xml:space="preserve"> 13.2.2 </t>
  </si>
  <si>
    <t xml:space="preserve"> 13.2.3 </t>
  </si>
  <si>
    <t xml:space="preserve"> 13.2.4 </t>
  </si>
  <si>
    <t xml:space="preserve"> 13.2.5 </t>
  </si>
  <si>
    <t xml:space="preserve"> 13.2.6 </t>
  </si>
  <si>
    <t xml:space="preserve"> 13.2.7 </t>
  </si>
  <si>
    <t>IMPLANTAÇÃO</t>
  </si>
  <si>
    <t xml:space="preserve"> 3.4 </t>
  </si>
  <si>
    <t xml:space="preserve"> 98459 </t>
  </si>
  <si>
    <t>TAPUME COM TELHA METÁLICA. AF_03/2024</t>
  </si>
  <si>
    <t xml:space="preserve"> 3.14 </t>
  </si>
  <si>
    <t xml:space="preserve"> 00004981 </t>
  </si>
  <si>
    <t>ADESIVO PARA APLICAÇÃO EM TAPUME DE TELHA METÁLICA DE CONSTRUÇÃO</t>
  </si>
  <si>
    <t xml:space="preserve"> 4.1 </t>
  </si>
  <si>
    <t xml:space="preserve"> 98525 </t>
  </si>
  <si>
    <t>LIMPEZA MECANIZADA DE CAMADA VEGETAL, VEGETAÇÃO E PEQUENAS ÁRVORES (DIÂMETRO DE TRONCO MENOR QUE 0,20 M), COM TRATOR DE ESTEIRAS. AF_03/2024</t>
  </si>
  <si>
    <t xml:space="preserve"> 4.2 </t>
  </si>
  <si>
    <t xml:space="preserve"> 100575 </t>
  </si>
  <si>
    <t>REGULARIZAÇÃO DE SUPERFÍCIES COM MOTONIVELADORA. AF_09/2024</t>
  </si>
  <si>
    <t xml:space="preserve"> 4.3 </t>
  </si>
  <si>
    <t xml:space="preserve"> 101126 </t>
  </si>
  <si>
    <t>ESCAVAÇÃO HORIZONTAL, INCLUINDO CARGA E DESCARGA EM SOLO DE 1A CATEGORIA COM TRATOR DE ESTEIRAS (170HP/LÂMINA: 5,20M3). AF_07/2020</t>
  </si>
  <si>
    <t xml:space="preserve"> 4.4 </t>
  </si>
  <si>
    <t xml:space="preserve"> 104740 </t>
  </si>
  <si>
    <t>REATERRO MECANIZADO DE VALA COM MINICARREGADEIRA, COM COMPACTADOR DE SOLOS DE PERCUSSÃO. AF_08/2023</t>
  </si>
  <si>
    <t xml:space="preserve"> 4.5 </t>
  </si>
  <si>
    <t xml:space="preserve"> 102349 </t>
  </si>
  <si>
    <t>ESCAVAÇÃO EM MATERIAL DE 3ª CATEGORIA, RESISTÊNCIA À COMPRESSÃO MENOR QUE 50 MPA, COM ROMPEDOR ACOPLADO EM ESCAVADEIRA HIDRÁULICA - EXCLUSIVE CARGA E TRANSPORTE. AF_03/2021</t>
  </si>
  <si>
    <t xml:space="preserve"> 4.6 </t>
  </si>
  <si>
    <t xml:space="preserve"> 00003458 </t>
  </si>
  <si>
    <t>EXECUÇÃO E COMPACTAÇÃO DE CORPO DE ATERRO  (100% DE ENERGIA DO PROCTOR NORMAL) COM SOLO PREDOMINANTEMENTE ARGILOSO, EM CAMADAS COM ESPESSURA DE 20 CM</t>
  </si>
  <si>
    <t xml:space="preserve"> 4.7 </t>
  </si>
  <si>
    <t xml:space="preserve"> 100990 </t>
  </si>
  <si>
    <t>CARGA, MANOBRA E DESCARGA DE SOLOS E MATERIAIS GRANULARES EM CAMINHÃO BASCULANTE 10 M³ - CARGA COM PÁ CARREGADEIRA (CAÇAMBA DE 1,7 A 2,8 M³ / 128 HP) E DESCARGA LIVRE (UNIDADE: T). AF_07/2020</t>
  </si>
  <si>
    <t>T</t>
  </si>
  <si>
    <t xml:space="preserve"> 4.8 </t>
  </si>
  <si>
    <t xml:space="preserve"> 95878 </t>
  </si>
  <si>
    <t>TRANSPORTE COM CAMINHÃO BASCULANTE DE 10 M³, EM VIA URBANA PAVIMENTADA, DMT ATÉ 30 KM (UNIDADE: TXKM). AF_07/2020</t>
  </si>
  <si>
    <t>TXKM</t>
  </si>
  <si>
    <t xml:space="preserve"> 4.9 </t>
  </si>
  <si>
    <t xml:space="preserve"> 00001589 </t>
  </si>
  <si>
    <t>MURO DE ARRIMO DE ALVENARIA DE PEDRA ARGAMASSADA</t>
  </si>
  <si>
    <t xml:space="preserve"> 4.10 </t>
  </si>
  <si>
    <t xml:space="preserve"> 96393 </t>
  </si>
  <si>
    <t>USINAGEM DE BRITA GRADUADA SIMPLES. AF_03/2020</t>
  </si>
  <si>
    <t xml:space="preserve"> 4.11 </t>
  </si>
  <si>
    <t xml:space="preserve"> 104515 </t>
  </si>
  <si>
    <t>APLICAÇÃO DE MANTA GEOTÊXTIL NAS JUNTAS RÍGIDAS DE ADUELAS PRÉ-MOLDADAS DE CONCRETO ARMADO. AF_01/2023</t>
  </si>
  <si>
    <t xml:space="preserve"> 4.12 </t>
  </si>
  <si>
    <t xml:space="preserve"> 4.13 </t>
  </si>
  <si>
    <t xml:space="preserve"> 96620 </t>
  </si>
  <si>
    <t>LASTRO DE CONCRETO MAGRO, APLICADO EM PISOS, LAJES SOBRE SOLO OU RADIERS. AF_01/2024</t>
  </si>
  <si>
    <t xml:space="preserve"> 4.14 </t>
  </si>
  <si>
    <t xml:space="preserve"> 102726 </t>
  </si>
  <si>
    <t>DRENO BARBACÃ, DN 50 MM, COM MATERIAL DRENANTE. AF_07/2021</t>
  </si>
  <si>
    <t xml:space="preserve"> 5.1 </t>
  </si>
  <si>
    <t>INFRAESTRUTURA</t>
  </si>
  <si>
    <t xml:space="preserve"> 5.1.1 </t>
  </si>
  <si>
    <t xml:space="preserve"> 99059 </t>
  </si>
  <si>
    <t>LOCAÇÃO CONVENCIONAL DE OBRA, UTILIZANDO GABARITO DE TÁBUAS CORRIDAS PONTALETADAS A CADA 2,00M - 2 UTILIZAÇÕES. AF_03/2024</t>
  </si>
  <si>
    <t xml:space="preserve"> 5.1.2 </t>
  </si>
  <si>
    <t xml:space="preserve"> 96521 </t>
  </si>
  <si>
    <t>ESCAVAÇÃO MECANIZADA PARA BLOCO DE COROAMENTO OU SAPATA COM RETROESCAVADEIRA (INCLUINDO ESCAVAÇÃO PARA COLOCAÇÃO DE FÔRMAS). AF_01/2024</t>
  </si>
  <si>
    <t xml:space="preserve"> 5.1.3 </t>
  </si>
  <si>
    <t xml:space="preserve"> 96525 </t>
  </si>
  <si>
    <t>ESCAVAÇÃO MECANIZADA PARA VIGA BALDRAME OU SAPATA CORRIDA COM MINI-ESCAVADEIRA (INCLUINDO ESCAVAÇÃO PARA COLOCAÇÃO DE FÔRMAS). AF_01/2024</t>
  </si>
  <si>
    <t xml:space="preserve"> 5.1.4 </t>
  </si>
  <si>
    <t xml:space="preserve"> 96619 </t>
  </si>
  <si>
    <t>LASTRO DE CONCRETO MAGRO, APLICADO EM BLOCOS DE COROAMENTO OU SAPATAS, ESPESSURA DE 5 CM. AF_01/2024</t>
  </si>
  <si>
    <t xml:space="preserve"> 5.1.5 </t>
  </si>
  <si>
    <t xml:space="preserve"> 96557 </t>
  </si>
  <si>
    <t>CONCRETAGEM DE BLOCO DE COROAMENTO OU VIGA BALDRAME, FCK 30 MPA, COM USO DE BOMBA - LANÇAMENTO, ADENSAMENTO E ACABAMENTO. AF_01/2024</t>
  </si>
  <si>
    <t xml:space="preserve"> 5.1.6 </t>
  </si>
  <si>
    <t xml:space="preserve"> 96535 </t>
  </si>
  <si>
    <t>FABRICAÇÃO, MONTAGEM E DESMONTAGEM DE FÔRMA PARA SAPATA, EM MADEIRA SERRADA, E=25 MM, 4 UTILIZAÇÕES. AF_01/2024</t>
  </si>
  <si>
    <t xml:space="preserve"> 5.1.7 </t>
  </si>
  <si>
    <t xml:space="preserve"> 96536 </t>
  </si>
  <si>
    <t>FABRICAÇÃO, MONTAGEM E DESMONTAGEM DE FÔRMA PARA VIGA BALDRAME, EM MADEIRA SERRADA, E=25 MM, 4 UTILIZAÇÕES. AF_01/2024</t>
  </si>
  <si>
    <t xml:space="preserve"> 5.1.8 </t>
  </si>
  <si>
    <t xml:space="preserve"> 92439 </t>
  </si>
  <si>
    <t>MONTAGEM E DESMONTAGEM DE FÔRMA DE PILARES RETANGULARES E ESTRUTURAS SIMILARES, PÉ-DIREITO SIMPLES, EM CHAPA DE MADEIRA COMPENSADA PLASTIFICADA, 14 UTILIZAÇÕES. AF_09/2020</t>
  </si>
  <si>
    <t xml:space="preserve"> 5.1.9 </t>
  </si>
  <si>
    <t xml:space="preserve"> 104916 </t>
  </si>
  <si>
    <t>ARMAÇÃO DE SAPATA ISOLADA, VIGA BALDRAME E SAPATA CORRIDA UTILIZANDO AÇO CA-60 DE 5 MM - MONTAGEM. AF_01/2024</t>
  </si>
  <si>
    <t xml:space="preserve"> 5.1.10 </t>
  </si>
  <si>
    <t xml:space="preserve"> 104917 </t>
  </si>
  <si>
    <t>ARMAÇÃO DE SAPATA ISOLADA, VIGA BALDRAME E SAPATA CORRIDA UTILIZANDO AÇO CA-50 DE 6,3 MM - MONTAGEM. AF_01/2024</t>
  </si>
  <si>
    <t xml:space="preserve"> 5.1.11 </t>
  </si>
  <si>
    <t xml:space="preserve"> 104921 </t>
  </si>
  <si>
    <t>ARMAÇÃO DE BLOCO, SAPATA ISOLADA, VIGA BALDRAME E SAPATA CORRIDA UTILIZANDO AÇO CA-50 DE 16 MM - MONTAGEM. AF_01/2024</t>
  </si>
  <si>
    <t xml:space="preserve"> 5.1.12 </t>
  </si>
  <si>
    <t xml:space="preserve"> 104919 </t>
  </si>
  <si>
    <t>ARMAÇÃO DE SAPATA ISOLADA, VIGA BALDRAME E SAPATA CORRIDA UTILIZANDO AÇO CA-50 DE 10 MM - MONTAGEM. AF_01/2024</t>
  </si>
  <si>
    <t xml:space="preserve"> 5.1.13 </t>
  </si>
  <si>
    <t xml:space="preserve"> 104920 </t>
  </si>
  <si>
    <t>ARMAÇÃO DE BLOCO, SAPATA ISOLADA, VIGA BALDRAME E SAPATA CORRIDA UTILIZANDO AÇO CA-50 DE 12,5 MM - MONTAGEM. AF_01/2024</t>
  </si>
  <si>
    <t xml:space="preserve"> 5.1.14 </t>
  </si>
  <si>
    <t xml:space="preserve"> 5.1.15 </t>
  </si>
  <si>
    <t xml:space="preserve"> 5.1.16 </t>
  </si>
  <si>
    <t xml:space="preserve"> 5.1.17 </t>
  </si>
  <si>
    <t xml:space="preserve"> 5.1.18 </t>
  </si>
  <si>
    <t xml:space="preserve"> 5.1.19 </t>
  </si>
  <si>
    <t xml:space="preserve"> 104918 </t>
  </si>
  <si>
    <t>ARMAÇÃO DE SAPATA ISOLADA, VIGA BALDRAME E SAPATA CORRIDA UTILIZANDO AÇO CA-50 DE 8 MM - MONTAGEM. AF_01/2024</t>
  </si>
  <si>
    <t xml:space="preserve"> 5.1.20 </t>
  </si>
  <si>
    <t xml:space="preserve"> 93382 </t>
  </si>
  <si>
    <t>REATERRO MANUAL DE VALAS, COM COMPACTADOR DE SOLOS DE PERCUSSÃO. AF_08/2023</t>
  </si>
  <si>
    <t xml:space="preserve"> 5.1.21 </t>
  </si>
  <si>
    <t xml:space="preserve"> 96558 </t>
  </si>
  <si>
    <t>CONCRETAGEM DE SAPATA, FCK 30 MPA, COM USO DE BOMBA - LANÇAMENTO, ADENSAMENTO E ACABAMENTO. AF_01/2024</t>
  </si>
  <si>
    <t xml:space="preserve"> 5.1.22 </t>
  </si>
  <si>
    <t xml:space="preserve"> 5.1.23 </t>
  </si>
  <si>
    <t xml:space="preserve"> 5.14 </t>
  </si>
  <si>
    <t>INSTALAÇÕES DE PREVENÇÃO DE COMBATE A INCÊNDIO</t>
  </si>
  <si>
    <t xml:space="preserve"> 5.14.1 </t>
  </si>
  <si>
    <t xml:space="preserve"> 101907 </t>
  </si>
  <si>
    <t>EXTINTOR DE INCÊNDIO PORTÁTIL COM CARGA DE CO2 DE 6 KG, CLASSE BC - FORNECIMENTO E INSTALAÇÃO. AF_10/2020_PE</t>
  </si>
  <si>
    <t xml:space="preserve"> 5.14.2 </t>
  </si>
  <si>
    <t xml:space="preserve"> 101909 </t>
  </si>
  <si>
    <t>EXTINTOR DE INCÊNDIO PORTÁTIL COM CARGA DE PQS DE 6 KG, CLASSE BC - FORNECIMENTO E INSTALAÇÃO. AF_10/2020_PE</t>
  </si>
  <si>
    <t xml:space="preserve"> 5.14.3 </t>
  </si>
  <si>
    <t xml:space="preserve"> 97599 </t>
  </si>
  <si>
    <t>LUMINÁRIA DE EMERGÊNCIA, COM 30 LÂMPADAS LED DE 2 W, SEM REATOR - FORNECIMENTO E INSTALAÇÃO. AF_09/2024</t>
  </si>
  <si>
    <t xml:space="preserve"> 5.14.4 </t>
  </si>
  <si>
    <t xml:space="preserve"> 00001131 </t>
  </si>
  <si>
    <t>PLACA FOTOLUMINESCENTE DE SINALIZAÇÃO DE ROTA DE FUGA (15X30CM) - FORNECIMENTO E INSTALAÇÃO</t>
  </si>
  <si>
    <t xml:space="preserve"> 5.14.5 </t>
  </si>
  <si>
    <t xml:space="preserve"> 00001133 </t>
  </si>
  <si>
    <t>ACIONADOR MANUAL DO SISTEMA DE DETECÇÃO E ALARME, ENDEREÇÁVEL TIPO QUEBRE O VIDRO, COM CERTIFICAÇÃO UL E FM; PLACA INDICATIVA DE ACIONADOR MANUAL DO SISTEMA DE ALARME (15CM X 15CM);</t>
  </si>
  <si>
    <t xml:space="preserve"> 5.14.6 </t>
  </si>
  <si>
    <t xml:space="preserve"> 00001137 </t>
  </si>
  <si>
    <t>Eletroduto ∅ 3/4" ferro galvanizado para acionador manual para Bomba</t>
  </si>
  <si>
    <t xml:space="preserve"> 5.14.7 </t>
  </si>
  <si>
    <t xml:space="preserve"> 95795 </t>
  </si>
  <si>
    <t>CONDULETE DE ALUMÍNIO, TIPO T, PARA ELETRODUTO DE AÇO GALVANIZADO DN 20 MM (3/4''), APARENTE - FORNECIMENTO E INSTALAÇÃO. AF_10/2022</t>
  </si>
  <si>
    <t xml:space="preserve"> 5.14.8 </t>
  </si>
  <si>
    <t xml:space="preserve"> 91925 </t>
  </si>
  <si>
    <t>CABO DE COBRE FLEXÍVEL ISOLADO, 1,5 MM², ANTI-CHAMA 0,6/1,0 KV, PARA CIRCUITOS TERMINAIS - FORNECIMENTO E INSTALAÇÃO. AF_03/2023</t>
  </si>
  <si>
    <t xml:space="preserve"> 5.14.9 </t>
  </si>
  <si>
    <t xml:space="preserve"> 98111 </t>
  </si>
  <si>
    <t>CAIXA DE INSPEÇÃO PARA ATERRAMENTO, CIRCULAR, EM POLIETILENO, DIÂMETRO INTERNO = 0,3 M. AF_12/2020</t>
  </si>
  <si>
    <t xml:space="preserve"> 6.1 </t>
  </si>
  <si>
    <t xml:space="preserve"> 6.1.1 </t>
  </si>
  <si>
    <t xml:space="preserve"> 6.1.2 </t>
  </si>
  <si>
    <t xml:space="preserve"> 6.1.3 </t>
  </si>
  <si>
    <t xml:space="preserve"> 6.1.4 </t>
  </si>
  <si>
    <t xml:space="preserve"> 6.1.5 </t>
  </si>
  <si>
    <t xml:space="preserve"> 6.1.6 </t>
  </si>
  <si>
    <t xml:space="preserve"> 6.1.7 </t>
  </si>
  <si>
    <t xml:space="preserve"> 6.1.8 </t>
  </si>
  <si>
    <t xml:space="preserve"> 6.1.9 </t>
  </si>
  <si>
    <t xml:space="preserve"> 6.1.10 </t>
  </si>
  <si>
    <t xml:space="preserve"> 6.1.11 </t>
  </si>
  <si>
    <t xml:space="preserve"> 6.1.12 </t>
  </si>
  <si>
    <t xml:space="preserve"> 6.1.13 </t>
  </si>
  <si>
    <t xml:space="preserve"> 6.1.14 </t>
  </si>
  <si>
    <t xml:space="preserve"> 6.1.15 </t>
  </si>
  <si>
    <t xml:space="preserve"> 6.1.16 </t>
  </si>
  <si>
    <t xml:space="preserve"> 6.1.17 </t>
  </si>
  <si>
    <t xml:space="preserve"> 6.1.18 </t>
  </si>
  <si>
    <t xml:space="preserve"> 6.1.19 </t>
  </si>
  <si>
    <t xml:space="preserve"> 6.1.20 </t>
  </si>
  <si>
    <t xml:space="preserve"> 6.1.21 </t>
  </si>
  <si>
    <t xml:space="preserve"> 6.1.22 </t>
  </si>
  <si>
    <t xml:space="preserve"> 6.13 </t>
  </si>
  <si>
    <t xml:space="preserve"> 6.13.1 </t>
  </si>
  <si>
    <t>EXTINTOR DE INCÊNDIO PORTÁTIL TIPO K DE 6L - FORNECIMENTO E INSTALAÇÃO.</t>
  </si>
  <si>
    <t xml:space="preserve"> 6.13.2 </t>
  </si>
  <si>
    <t xml:space="preserve"> 6.13.3 </t>
  </si>
  <si>
    <t xml:space="preserve"> 6.13.4 </t>
  </si>
  <si>
    <t xml:space="preserve"> 6.13.5 </t>
  </si>
  <si>
    <t xml:space="preserve"> 6.13.6 </t>
  </si>
  <si>
    <t xml:space="preserve"> 6.13.7 </t>
  </si>
  <si>
    <t xml:space="preserve"> 6.13.8 </t>
  </si>
  <si>
    <t xml:space="preserve"> 6.13.9 </t>
  </si>
  <si>
    <t xml:space="preserve"> 7.1 </t>
  </si>
  <si>
    <t xml:space="preserve"> 7.1.1 </t>
  </si>
  <si>
    <t xml:space="preserve"> 7.1.2 </t>
  </si>
  <si>
    <t xml:space="preserve"> 7.1.3 </t>
  </si>
  <si>
    <t xml:space="preserve"> 7.1.4 </t>
  </si>
  <si>
    <t xml:space="preserve"> 7.1.5 </t>
  </si>
  <si>
    <t xml:space="preserve"> 7.1.6 </t>
  </si>
  <si>
    <t xml:space="preserve"> 7.1.7 </t>
  </si>
  <si>
    <t xml:space="preserve"> 7.1.8 </t>
  </si>
  <si>
    <t xml:space="preserve"> 7.1.9 </t>
  </si>
  <si>
    <t xml:space="preserve"> 7.1.10 </t>
  </si>
  <si>
    <t xml:space="preserve"> 7.1.11 </t>
  </si>
  <si>
    <t xml:space="preserve"> 7.1.12 </t>
  </si>
  <si>
    <t xml:space="preserve"> 7.1.13 </t>
  </si>
  <si>
    <t xml:space="preserve"> 7.1.14 </t>
  </si>
  <si>
    <t xml:space="preserve"> 7.1.15 </t>
  </si>
  <si>
    <t xml:space="preserve"> 7.1.16 </t>
  </si>
  <si>
    <t xml:space="preserve"> 7.1.17 </t>
  </si>
  <si>
    <t xml:space="preserve"> 7.1.18 </t>
  </si>
  <si>
    <t xml:space="preserve"> 7.1.19 </t>
  </si>
  <si>
    <t xml:space="preserve"> 7.1.20 </t>
  </si>
  <si>
    <t xml:space="preserve"> 7.1.21 </t>
  </si>
  <si>
    <t xml:space="preserve"> 7.13 </t>
  </si>
  <si>
    <t xml:space="preserve"> 7.13.1 </t>
  </si>
  <si>
    <t xml:space="preserve"> 7.13.2 </t>
  </si>
  <si>
    <t xml:space="preserve"> 7.13.3 </t>
  </si>
  <si>
    <t xml:space="preserve"> 7.13.4 </t>
  </si>
  <si>
    <t xml:space="preserve"> 7.13.5 </t>
  </si>
  <si>
    <t xml:space="preserve"> 7.13.6 </t>
  </si>
  <si>
    <t xml:space="preserve"> 7.13.7 </t>
  </si>
  <si>
    <t xml:space="preserve"> 8.1 </t>
  </si>
  <si>
    <t xml:space="preserve"> 8.1.1 </t>
  </si>
  <si>
    <t xml:space="preserve"> 8.1.2 </t>
  </si>
  <si>
    <t xml:space="preserve"> 8.1.3 </t>
  </si>
  <si>
    <t xml:space="preserve"> 8.1.4 </t>
  </si>
  <si>
    <t xml:space="preserve"> 8.1.5 </t>
  </si>
  <si>
    <t xml:space="preserve"> 8.1.6 </t>
  </si>
  <si>
    <t xml:space="preserve"> 8.1.7 </t>
  </si>
  <si>
    <t xml:space="preserve"> 92760 </t>
  </si>
  <si>
    <t>ARMAÇÃO DE PILAR OU VIGA DE ESTRUTURA CONVENCIONAL DE CONCRETO ARMADO UTILIZANDO AÇO CA-50 DE 6,3 MM - MONTAGEM. AF_06/2022</t>
  </si>
  <si>
    <t xml:space="preserve"> 8.1.8 </t>
  </si>
  <si>
    <t xml:space="preserve"> 8.1.9 </t>
  </si>
  <si>
    <t xml:space="preserve"> 8.1.10 </t>
  </si>
  <si>
    <t xml:space="preserve"> 8.1.11 </t>
  </si>
  <si>
    <t xml:space="preserve"> 9.1 </t>
  </si>
  <si>
    <t xml:space="preserve"> 9.1.1 </t>
  </si>
  <si>
    <t xml:space="preserve"> 9.1.2 </t>
  </si>
  <si>
    <t xml:space="preserve"> 9.1.3 </t>
  </si>
  <si>
    <t xml:space="preserve"> 9.1.4 </t>
  </si>
  <si>
    <t xml:space="preserve"> 9.1.5 </t>
  </si>
  <si>
    <t xml:space="preserve"> 9.1.6 </t>
  </si>
  <si>
    <t xml:space="preserve"> 9.1.7 </t>
  </si>
  <si>
    <t xml:space="preserve"> 9.1.8 </t>
  </si>
  <si>
    <t xml:space="preserve"> 9.1.9 </t>
  </si>
  <si>
    <t xml:space="preserve"> 92486 </t>
  </si>
  <si>
    <t>MONTAGEM E DESMONTAGEM DE FÔRMA DE LAJE MACIÇA, PÉ-DIREITO SIMPLES, EM MADEIRA SERRADA, 4 UTILIZAÇÕES. AF_09/2020</t>
  </si>
  <si>
    <t xml:space="preserve"> 9.1.10 </t>
  </si>
  <si>
    <t xml:space="preserve"> 9.1.11 </t>
  </si>
  <si>
    <t xml:space="preserve"> 9.1.12 </t>
  </si>
  <si>
    <t xml:space="preserve"> 9.1.13 </t>
  </si>
  <si>
    <t xml:space="preserve"> 9.1.14 </t>
  </si>
  <si>
    <t xml:space="preserve"> 9.1.15 </t>
  </si>
  <si>
    <t xml:space="preserve"> 9.1.16 </t>
  </si>
  <si>
    <t xml:space="preserve"> 9.1.17 </t>
  </si>
  <si>
    <t xml:space="preserve"> 9.1.18 </t>
  </si>
  <si>
    <t xml:space="preserve"> 9.1.19 </t>
  </si>
  <si>
    <t xml:space="preserve"> 9.1.20 </t>
  </si>
  <si>
    <t xml:space="preserve"> 9.1.21 </t>
  </si>
  <si>
    <t xml:space="preserve"> 9.1.22 </t>
  </si>
  <si>
    <t xml:space="preserve"> 9.1.23 </t>
  </si>
  <si>
    <t xml:space="preserve"> 102006 </t>
  </si>
  <si>
    <t>MONTAGEM E DESMONTAGEM DE FÔRMA PARA ESCADAS, COM 2 LANCES EM "U" E LAJE CASCATA, EM CHAPA DE MADEIRA COMPENSADA PLASTIFICADA, 10 UTILIZAÇÕES. AF_11/2020</t>
  </si>
  <si>
    <t xml:space="preserve"> 9.1.24 </t>
  </si>
  <si>
    <t xml:space="preserve"> 9.1.25 </t>
  </si>
  <si>
    <t xml:space="preserve"> 9.1.26 </t>
  </si>
  <si>
    <t xml:space="preserve"> 9.1.27 </t>
  </si>
  <si>
    <t xml:space="preserve"> 9.1.28 </t>
  </si>
  <si>
    <t xml:space="preserve"> 00003460 </t>
  </si>
  <si>
    <t>Escavação mecânica de vala em material de 1ª categoria</t>
  </si>
  <si>
    <t xml:space="preserve"> 9.1.29 </t>
  </si>
  <si>
    <t xml:space="preserve"> 9.1.30 </t>
  </si>
  <si>
    <t xml:space="preserve"> 00003156 </t>
  </si>
  <si>
    <t>CONCRETAGEM DE SUPERESTRUTURAS E INFRAESTRUTURAS (PRE MOLDADAS OU MACIÇAS) FCK = 40 MPA,  COM USO DE BOMBA EM EDIFICAÇÃO - LANÇAMENTO, ADENSAMENTO E ACABAMENTO. (CONCRETO USINADO)</t>
  </si>
  <si>
    <t xml:space="preserve"> 9.1.31 </t>
  </si>
  <si>
    <t xml:space="preserve"> 9.12 </t>
  </si>
  <si>
    <t xml:space="preserve"> 9.12.1 </t>
  </si>
  <si>
    <t xml:space="preserve"> 9.12.2 </t>
  </si>
  <si>
    <t xml:space="preserve"> 9.12.3 </t>
  </si>
  <si>
    <t xml:space="preserve"> 00000663 </t>
  </si>
  <si>
    <t>CENTRAL DE ALARME CONVENCIONAL - FORNECIMENTO E INSTALAÇÃO</t>
  </si>
  <si>
    <t xml:space="preserve"> 9.12.4 </t>
  </si>
  <si>
    <t xml:space="preserve"> 9.12.5 </t>
  </si>
  <si>
    <t xml:space="preserve"> 9.12.6 </t>
  </si>
  <si>
    <t xml:space="preserve"> 96765 </t>
  </si>
  <si>
    <t>ABRIGO PARA HIDRANTE, 90X60X17CM, COM REGISTRO GLOBO ANGULAR 45 GRAUS 2 1/2", ADAPTADOR STORZ 2 1/2", MANGUEIRA DE INCÊNDIO 20M, REDUÇÃO 2 1/2" X 1 1/2" E ESGUICHO EM LATÃO 1 1/2" - FORNECIMENTO E INSTALAÇÃO. AF_10/2020</t>
  </si>
  <si>
    <t xml:space="preserve"> 9.12.7 </t>
  </si>
  <si>
    <t xml:space="preserve"> 00000396 </t>
  </si>
  <si>
    <t>PLACA DE SINALIZAÇÃO DE PROIBIÇÃO DE "PROIBIDO FUMAR", CÓDIGO P-1 CONFORME NBR 16820 - FORNECIMENTO E INSTALAÇÃO</t>
  </si>
  <si>
    <t xml:space="preserve"> 9.12.8 </t>
  </si>
  <si>
    <t xml:space="preserve"> 00000398 </t>
  </si>
  <si>
    <t>PLACA DE SINALIZAÇÃO DE ALERTA DE RISCO DE INCÊNDIO, CÓDIGO A-2 CONFORME NBR 16820 - FORNECIMENTO E INSTALAÇÃO</t>
  </si>
  <si>
    <t xml:space="preserve"> 9.12.9 </t>
  </si>
  <si>
    <t xml:space="preserve"> 9.12.10 </t>
  </si>
  <si>
    <t xml:space="preserve"> 10.1 </t>
  </si>
  <si>
    <t xml:space="preserve"> 10.1.1 </t>
  </si>
  <si>
    <t xml:space="preserve"> 10.1.2 </t>
  </si>
  <si>
    <t xml:space="preserve"> 10.1.3 </t>
  </si>
  <si>
    <t xml:space="preserve"> 10.1.4 </t>
  </si>
  <si>
    <t xml:space="preserve"> 10.1.5 </t>
  </si>
  <si>
    <t xml:space="preserve"> 10.1.6 </t>
  </si>
  <si>
    <t xml:space="preserve"> 10.1.7 </t>
  </si>
  <si>
    <t xml:space="preserve"> 10.1.8 </t>
  </si>
  <si>
    <t xml:space="preserve"> 10.1.9 </t>
  </si>
  <si>
    <t xml:space="preserve"> 10.1.10 </t>
  </si>
  <si>
    <t xml:space="preserve"> 10.1.11 </t>
  </si>
  <si>
    <t xml:space="preserve"> 10.1.12 </t>
  </si>
  <si>
    <t xml:space="preserve"> 10.1.13 </t>
  </si>
  <si>
    <t xml:space="preserve"> 10.1.14 </t>
  </si>
  <si>
    <t xml:space="preserve"> 10.1.15 </t>
  </si>
  <si>
    <t xml:space="preserve"> 10.1.16 </t>
  </si>
  <si>
    <t xml:space="preserve"> 10.1.17 </t>
  </si>
  <si>
    <t xml:space="preserve"> 10.11 </t>
  </si>
  <si>
    <t xml:space="preserve"> 10.11.1 </t>
  </si>
  <si>
    <t xml:space="preserve"> 10.11.2 </t>
  </si>
  <si>
    <t xml:space="preserve"> 10.11.3 </t>
  </si>
  <si>
    <t xml:space="preserve"> 10.11.4 </t>
  </si>
  <si>
    <t xml:space="preserve"> 10.11.5 </t>
  </si>
  <si>
    <t xml:space="preserve"> 10.11.6 </t>
  </si>
  <si>
    <t xml:space="preserve"> 10.11.7 </t>
  </si>
  <si>
    <t xml:space="preserve"> 10.11.8 </t>
  </si>
  <si>
    <t xml:space="preserve"> 11.1 </t>
  </si>
  <si>
    <t>REDE DE ALIMENTAÇÃO DE ÁGUA FRIA</t>
  </si>
  <si>
    <t xml:space="preserve"> 11.1.1 </t>
  </si>
  <si>
    <t xml:space="preserve"> 11.1.2 </t>
  </si>
  <si>
    <t xml:space="preserve"> 11.1.3 </t>
  </si>
  <si>
    <t xml:space="preserve"> 103979 </t>
  </si>
  <si>
    <t>TUBO, PVC, SOLDÁVEL, DE 50MM, INSTALADO EM RAMAL DE DISTRIBUIÇÃO DE ÁGUA - FORNECIMENTO E INSTALAÇÃO. AF_06/2022</t>
  </si>
  <si>
    <t xml:space="preserve"> 11.1.4 </t>
  </si>
  <si>
    <t xml:space="preserve"> 105154 </t>
  </si>
  <si>
    <t>CURVA PVC 45 GRAUS, SOLDÁVEL, DN 25 MM, INSTALADO EM RESERVAÇÃO PREDIAL DE ÁGUA - FORNECIMENTO E INSTALAÇÃO. AF_04/2024</t>
  </si>
  <si>
    <t xml:space="preserve"> 11.1.5 </t>
  </si>
  <si>
    <t xml:space="preserve"> 105155 </t>
  </si>
  <si>
    <t>CURVA PVC 45 GRAUS, SOLDÁVEL, DN 32 MM, INSTALADO EM RESERVAÇÃO PREDIAL DE ÁGUA - FORNECIMENTO E INSTALAÇÃO. AF_04/2024</t>
  </si>
  <si>
    <t xml:space="preserve"> 11.1.6 </t>
  </si>
  <si>
    <t xml:space="preserve"> 94673 </t>
  </si>
  <si>
    <t>CURVA 90 GRAUS, PVC, SOLDÁVEL, DN 25 MM, INSTALADO EM RESERVAÇÃO PREDIAL DE ÁGUA - FORNECIMENTO E INSTALAÇÃO. AF_04/2024</t>
  </si>
  <si>
    <t xml:space="preserve"> 11.1.7 </t>
  </si>
  <si>
    <t xml:space="preserve"> 94675 </t>
  </si>
  <si>
    <t>CURVA 90 GRAUS, PVC, SOLDÁVEL, DN 32 MM, INSTALADO EM RESERVAÇÃO PREDIAL DE ÁGUA - FORNECIMENTO E INSTALAÇÃO. AF_04/2024</t>
  </si>
  <si>
    <t xml:space="preserve"> 11.1.8 </t>
  </si>
  <si>
    <t xml:space="preserve"> 94679 </t>
  </si>
  <si>
    <t>CURVA 90 GRAUS, PVC, SOLDÁVEL, DN 50 MM, INSTALADO EM RESERVAÇÃO PREDIAL DE ÁGUA - FORNECIMENTO E INSTALAÇÃO. AF_04/2024</t>
  </si>
  <si>
    <t xml:space="preserve"> 11.1.9 </t>
  </si>
  <si>
    <t xml:space="preserve"> 104003 </t>
  </si>
  <si>
    <t>BUCHA DE REDUÇÃO, LONGA, PVC, SOLDÁVEL, DN 50 X 32 MM, INSTALADO EM RAMAL DE DISTRIBUIÇÃO DE ÁGUA - FORNECIMENTO E INSTALAÇÃO. AF_06/2022</t>
  </si>
  <si>
    <t xml:space="preserve"> 11.1.10 </t>
  </si>
  <si>
    <t xml:space="preserve"> 11.1.11 </t>
  </si>
  <si>
    <t xml:space="preserve"> 103999 </t>
  </si>
  <si>
    <t>BUCHA DE REDUÇÃO, LONGA, PVC, SOLDÁVEL, DN 50 X 25 MM, INSTALADO EM RAMAL DE DISTRIBUIÇÃO DE ÁGUA - FORNECIMENTO E INSTALAÇÃO. AF_06/2022</t>
  </si>
  <si>
    <t xml:space="preserve"> 11.1.12 </t>
  </si>
  <si>
    <t xml:space="preserve"> 105179 </t>
  </si>
  <si>
    <t>JOELHO PVC, SOLDÁVEL, 45 GRAUS, DN 32 MM, INSTALADO EM RESERVAÇÃO PREDIAL DE ÁGUA - FORNECIMENTO E INSTALAÇÃO. AF_04/2024</t>
  </si>
  <si>
    <t xml:space="preserve"> 11.1.13 </t>
  </si>
  <si>
    <t xml:space="preserve"> 103956 </t>
  </si>
  <si>
    <t>JOELHO DE REDUÇÃO, 90 GRAUS, PVC, SOLDÁVEL, DN 32 MM X 25 MM, INSTALADO EM RAMAL DE DISTRIBUIÇÃO DE ÁGUA - FORNECIMENTO E INSTALAÇÃO. AF_06/2022</t>
  </si>
  <si>
    <t xml:space="preserve"> 11.1.14 </t>
  </si>
  <si>
    <t xml:space="preserve"> 94672 </t>
  </si>
  <si>
    <t>JOELHO 90 GRAUS COM BUCHA DE LATÃO, PVC, SOLDÁVEL, DN 25 MM X 3/4", INSTALADO EM RESERVAÇÃO PREDIAL DE ÁGUA - FORNECIMENTO E INSTALAÇÃO. AF_04/2024</t>
  </si>
  <si>
    <t xml:space="preserve"> 11.1.15 </t>
  </si>
  <si>
    <t xml:space="preserve"> 11.1.16 </t>
  </si>
  <si>
    <t xml:space="preserve"> 96748 </t>
  </si>
  <si>
    <t>JOELHO 90 GRAUS, PPR, DN 25 MM, INSTALADO EM RESERVAÇÃO PREDIAL DE ÁGUA - FORNECIMENTO E INSTALAÇÃO. AF_04/2024</t>
  </si>
  <si>
    <t xml:space="preserve"> 11.1.17 </t>
  </si>
  <si>
    <t xml:space="preserve"> 94657 </t>
  </si>
  <si>
    <t>LUVA PVC, SOLDÁVEL, DN 25 MM, INSTALADO EM RESERVAÇÃO PREDIAL DE ÁGUA - FORNECIMENTO E INSTALAÇÃO. AF_04/2024</t>
  </si>
  <si>
    <t xml:space="preserve"> 11.1.18 </t>
  </si>
  <si>
    <t xml:space="preserve"> 94659 </t>
  </si>
  <si>
    <t>LUVA PVC, SOLDÁVEL, DN 32 MM, INSTALADO EM RESERVAÇÃO PREDIAL DE ÁGUA - FORNECIMENTO E INSTALAÇÃO. AF_04/2024</t>
  </si>
  <si>
    <t xml:space="preserve"> 11.1.19 </t>
  </si>
  <si>
    <t xml:space="preserve"> 94663 </t>
  </si>
  <si>
    <t>LUVA, PVC, SOLDÁVEL, DN 50 MM, INSTALADO EM RESERVAÇÃO PREDIAL DE ÁGUA - FORNECIMENTO E INSTALAÇÃO. AF_04/2024</t>
  </si>
  <si>
    <t xml:space="preserve"> 11.1.20 </t>
  </si>
  <si>
    <t xml:space="preserve"> 94691 </t>
  </si>
  <si>
    <t>TÊ DE REDUÇÃO, PVC, SOLDÁVEL, DN 32 MM X 25 MM, INSTALADO EM RESERVAÇÃO PREDIAL DE ÁGUA - FORNECIMENTO E INSTALAÇÃO. AF_04/2024</t>
  </si>
  <si>
    <t xml:space="preserve"> 11.1.21 </t>
  </si>
  <si>
    <t xml:space="preserve"> 104006 </t>
  </si>
  <si>
    <t>TÊ DE REDUÇÃO, PVC, SOLDÁVEL, DN 50MM X 25MM, INSTALADO EM RAMAL DE DISTRIBUIÇÃO DE ÁGUA - FORNECIMENTO E INSTALAÇÃO. AF_06/2022</t>
  </si>
  <si>
    <t xml:space="preserve"> 11.1.22 </t>
  </si>
  <si>
    <t xml:space="preserve"> 104008 </t>
  </si>
  <si>
    <t>TE DE REDUÇÃO, 90 GRAUS, PVC, SOLDÁVEL, DN 50 MM X 32 MM, INSTALADO EM RAMAL DE DISTRIBUIÇÃO DE ÁGUA - FORNECIMENTO E INSTALAÇÃO. AF_06/2022</t>
  </si>
  <si>
    <t xml:space="preserve"> 11.1.23 </t>
  </si>
  <si>
    <t xml:space="preserve"> 94690 </t>
  </si>
  <si>
    <t>TÊ, PVC, SOLDÁVEL, DN 32 MM INSTALADO EM RESERVAÇÃO PREDIAL DE ÁGUA - FORNECIMENTO E INSTALAÇÃO. AF_04/2024</t>
  </si>
  <si>
    <t xml:space="preserve"> 11.1.24 </t>
  </si>
  <si>
    <t xml:space="preserve"> 94495 </t>
  </si>
  <si>
    <t>REGISTRO DE GAVETA BRUTO, LATÃO, ROSCÁVEL, 1" - FORNECIMENTO E INSTALAÇÃO. AF_08/2021</t>
  </si>
  <si>
    <t xml:space="preserve"> 11.1.25 </t>
  </si>
  <si>
    <t xml:space="preserve"> 104004 </t>
  </si>
  <si>
    <t>TE, PVC, SOLDÁVEL, DN 50MM, INSTALADO EM RAMAL DE DISTRIBUIÇÃO DE ÁGUA - FORNECIMENTO E INSTALAÇÃO. AF_06/2022</t>
  </si>
  <si>
    <t xml:space="preserve"> 11.1.26 </t>
  </si>
  <si>
    <t xml:space="preserve"> 11.1.27 </t>
  </si>
  <si>
    <t xml:space="preserve"> 11.1.28 </t>
  </si>
  <si>
    <t xml:space="preserve"> 104050 </t>
  </si>
  <si>
    <t>ADAPTADOR, PVC, CURTO COM BOLSA E ROSCA, 32 MM X 1", PARA LIGAÇÃO PREDIAL DE ÁGUA. AF_06/2022</t>
  </si>
  <si>
    <t xml:space="preserve"> 11.1.29 </t>
  </si>
  <si>
    <t xml:space="preserve"> 94656 </t>
  </si>
  <si>
    <t>ADAPTADOR CURTO COM BOLSA E ROSCA PARA REGISTRO, PVC, SOLDÁVEL, DN 25 MM X 3/4", INSTALADO EM RESERVAÇÃO PREDIAL DE ÁGUA - FORNECIMENTO E INSTALAÇÃO. AF_04/2024</t>
  </si>
  <si>
    <t xml:space="preserve"> 11.1.30 </t>
  </si>
  <si>
    <t xml:space="preserve"> 94662 </t>
  </si>
  <si>
    <t>ADAPTADOR CURTO COM BOLSA E ROSCA PARA REGISTRO, PVC, SOLDÁVEL, DN 50 MM X 1 1/2", INSTALADO EM RESERVAÇÃO PREDIAL DE ÁGUA - FORNECIMENTO E INSTALAÇÃO. AF_04/2024</t>
  </si>
  <si>
    <t xml:space="preserve"> 11.1.31 </t>
  </si>
  <si>
    <t xml:space="preserve"> 94703 </t>
  </si>
  <si>
    <t>ADAPTADOR COM FLANGE E ANEL DE VEDAÇÃO, PVC, SOLDÁVEL, DN 25 MM X 3/4", INSTALADO EM RESERVAÇÃO PREDIAL DE ÁGUA - FORNECIMENTO E INSTALAÇÃO. AF_04/2024</t>
  </si>
  <si>
    <t xml:space="preserve"> 11.1.32 </t>
  </si>
  <si>
    <t xml:space="preserve"> 95675 </t>
  </si>
  <si>
    <t>HIDRÔMETRO DN 3/4", 5,0 M3/H - FORNECIMENTO E INSTALAÇÃO. AF_03/2024</t>
  </si>
  <si>
    <t xml:space="preserve"> 11.1.33 </t>
  </si>
  <si>
    <t xml:space="preserve"> 97898 </t>
  </si>
  <si>
    <t>CAIXA ENTERRADA HIDRÁULICA RETANGULAR, EM CONCRETO PRÉ-MOLDADO, DIMENSÕES INTERNAS: 0,8X0,8X0,5 M. AF_12/2020</t>
  </si>
  <si>
    <t xml:space="preserve"> 11.1.34 </t>
  </si>
  <si>
    <t xml:space="preserve"> 11.1.35 </t>
  </si>
  <si>
    <t xml:space="preserve"> 00003498 </t>
  </si>
  <si>
    <t>ESTAÇÃO ELEVATÓRIA - ETE</t>
  </si>
  <si>
    <t xml:space="preserve"> 11.2 </t>
  </si>
  <si>
    <t>REDE COLETORA</t>
  </si>
  <si>
    <t xml:space="preserve"> 11.2.1 </t>
  </si>
  <si>
    <t xml:space="preserve"> 89848 </t>
  </si>
  <si>
    <t>TUBO PVC, SERIE NORMAL, ESGOTO PREDIAL, DN 100 MM, FORNECIDO E INSTALADO EM SUBCOLETOR AÉREO DE ESGOTO SANITÁRIO. AF_08/2022</t>
  </si>
  <si>
    <t xml:space="preserve"> 11.2.2 </t>
  </si>
  <si>
    <t xml:space="preserve"> 89849 </t>
  </si>
  <si>
    <t>TUBO PVC, SERIE NORMAL, ESGOTO PREDIAL, DN 150 MM, FORNECIDO E INSTALADO EM SUBCOLETOR AÉREO DE ESGOTO SANITÁRIO. AF_08/2022</t>
  </si>
  <si>
    <t xml:space="preserve"> 11.2.3 </t>
  </si>
  <si>
    <t xml:space="preserve"> 90696 </t>
  </si>
  <si>
    <t>TUBO DE PVC PARA REDE COLETORA DE ESGOTO DE PAREDE MACIÇA, DN 200 MM, JUNTA ELÁSTICA - FORNECIMENTO E ASSENTAMENTO. AF_01/2021</t>
  </si>
  <si>
    <t xml:space="preserve"> 11.2.4 </t>
  </si>
  <si>
    <t xml:space="preserve"> 11.2.5 </t>
  </si>
  <si>
    <t xml:space="preserve"> 11.2.6 </t>
  </si>
  <si>
    <t xml:space="preserve"> 90702 </t>
  </si>
  <si>
    <t>TUBO DE PVC CORRUGADO DE DUPLA PAREDE PARA REDE COLETORA DE ESGOTO, DN 200 MM, JUNTA ELÁSTICA - FORNECIMENTO E ASSENTAMENTO. AF_01/2021</t>
  </si>
  <si>
    <t xml:space="preserve"> 11.2.7 </t>
  </si>
  <si>
    <t xml:space="preserve"> 90704 </t>
  </si>
  <si>
    <t>TUBO DE PVC CORRUGADO DE DUPLA PAREDE PARA REDE COLETORA DE ESGOTO, DN 300 MM, JUNTA ELÁSTICA - FORNECIMENTO E ASSENTAMENTO. AF_01/2021</t>
  </si>
  <si>
    <t xml:space="preserve"> 11.2.8 </t>
  </si>
  <si>
    <t xml:space="preserve"> 97903 </t>
  </si>
  <si>
    <t>CAIXA ENTERRADA HIDRÁULICA RETANGULAR EM ALVENARIA COM TIJOLOS CERÂMICOS MACIÇOS, DIMENSÕES INTERNAS: 0,8X0,8X0,6 M PARA REDE DE ESGOTO. AF_12/2020</t>
  </si>
  <si>
    <t xml:space="preserve"> 11.2.9 </t>
  </si>
  <si>
    <t xml:space="preserve"> 11.2.10 </t>
  </si>
  <si>
    <t xml:space="preserve"> 11.2.11 </t>
  </si>
  <si>
    <t xml:space="preserve"> 89590 </t>
  </si>
  <si>
    <t>JOELHO 90 GRAUS, PVC, SERIE R, ÁGUA PLUVIAL, DN 150 MM, JUNTA ELÁSTICA, FORNECIDO E INSTALADO EM CONDUTORES VERTICAIS DE ÁGUAS PLUVIAIS. AF_06/2022</t>
  </si>
  <si>
    <t xml:space="preserve"> 11.2.12 </t>
  </si>
  <si>
    <t xml:space="preserve"> 11.2.13 </t>
  </si>
  <si>
    <t xml:space="preserve"> 11.2.14 </t>
  </si>
  <si>
    <t xml:space="preserve"> 99257 </t>
  </si>
  <si>
    <t>CAIXA ENTERRADA HIDRÁULICA RETANGULAR EM ALVENARIA COM TIJOLOS CERÂMICOS MACIÇOS, DIMENSÕES INTERNAS: 1X1X0,6 M PARA REDE DE DRENAGEM. AF_12/2020</t>
  </si>
  <si>
    <t xml:space="preserve"> 11.3 </t>
  </si>
  <si>
    <t>REDE ELÉTRICA - DISTRIBUIÇÃO</t>
  </si>
  <si>
    <t xml:space="preserve"> 11.3.1 </t>
  </si>
  <si>
    <t xml:space="preserve"> 11.3.2 </t>
  </si>
  <si>
    <t xml:space="preserve"> 101798 </t>
  </si>
  <si>
    <t>TAMPA PARA CAIXA TIPO R1, EM FERRO FUNDIDO, DIMENSÕES INTERNAS: 0,40 X 0,60 M - FORNECIMENTO E INSTALAÇÃO. AF_12/2020</t>
  </si>
  <si>
    <t xml:space="preserve"> 11.3.3 </t>
  </si>
  <si>
    <t xml:space="preserve"> 97893 </t>
  </si>
  <si>
    <t>CAIXA ENTERRADA ELÉTRICA RETANGULAR, EM ALVENARIA COM BLOCOS DE CONCRETO, FUNDO COM BRITA, DIMENSÕES INTERNAS: 0,8X0,8X0,6 M. AF_12/2020</t>
  </si>
  <si>
    <t xml:space="preserve"> 11.3.4 </t>
  </si>
  <si>
    <t xml:space="preserve"> 101799 </t>
  </si>
  <si>
    <t>TAMPA PARA CAIXA TIPO R2 E R3, EM FERRO FUNDIDO, DIMENSÕES INTERNAS: 0,55 X 1,10 M - FORNECIMENTO E INSTALAÇÃO. AF_12/2020</t>
  </si>
  <si>
    <t xml:space="preserve"> 11.3.5 </t>
  </si>
  <si>
    <t xml:space="preserve"> 91939 </t>
  </si>
  <si>
    <t>CAIXA RETANGULAR 4" X 2" ALTA (2,00 M DO PISO), PVC, INSTALADA EM PAREDE - FORNECIMENTO E INSTALAÇÃO. AF_03/2023</t>
  </si>
  <si>
    <t xml:space="preserve"> 11.3.6 </t>
  </si>
  <si>
    <t xml:space="preserve"> 95808 </t>
  </si>
  <si>
    <t>CONDULETE DE PVC, TIPO LL, PARA ELETRODUTO DE PVC SOLDÁVEL DN 25 MM (3/4''), APARENTE - FORNECIMENTO E INSTALAÇÃO. AF_10/2022</t>
  </si>
  <si>
    <t xml:space="preserve"> 11.3.7 </t>
  </si>
  <si>
    <t xml:space="preserve"> 91879 </t>
  </si>
  <si>
    <t>LUVA PARA ELETRODUTO, PVC, ROSCÁVEL, DN 25 MM (3/4"), PARA CIRCUITOS TERMINAIS, INSTALADA EM LAJE - FORNECIMENTO E INSTALAÇÃO. AF_03/2023</t>
  </si>
  <si>
    <t xml:space="preserve"> 11.3.8 </t>
  </si>
  <si>
    <t xml:space="preserve"> 0000307 </t>
  </si>
  <si>
    <t>CABO DE COBRE NU 16 MM² - FORNECIMENTO E INSTALAÇÃO.</t>
  </si>
  <si>
    <t xml:space="preserve"> 11.3.9 </t>
  </si>
  <si>
    <t xml:space="preserve"> 96985 </t>
  </si>
  <si>
    <t>HASTE DE ATERRAMENTO, DIÂMETRO 5/8", COM 3 METROS - FORNECIMENTO E INSTALAÇÃO. AF_08/2023</t>
  </si>
  <si>
    <t xml:space="preserve"> 11.3.10 </t>
  </si>
  <si>
    <t xml:space="preserve"> 0000306 </t>
  </si>
  <si>
    <t>Terminal de Compressão 16 mm²</t>
  </si>
  <si>
    <t xml:space="preserve"> 11.3.11 </t>
  </si>
  <si>
    <t xml:space="preserve"> 101637 </t>
  </si>
  <si>
    <t>BRAÇO PARA ILUMINAÇÃO PÚBLICA, EM TUBO DE AÇO GALVANIZADO, COMPRIMENTO DE 1,50 M, PARA FIXAÇÃO EM POSTE METÁLICO - FORNECIMENTO E INSTALAÇÃO. AF_02/2025_PS</t>
  </si>
  <si>
    <t xml:space="preserve"> 11.3.12 </t>
  </si>
  <si>
    <t xml:space="preserve"> 0000310 </t>
  </si>
  <si>
    <t>POSTE DE TUBO GALVANIZADO - D=76MM, L= 6,0M</t>
  </si>
  <si>
    <t xml:space="preserve"> 11.3.13 </t>
  </si>
  <si>
    <t xml:space="preserve"> 100622 </t>
  </si>
  <si>
    <t>POSTE DE AÇO CÔNICO CONTÍNUO CURVO SIMPLES, ENGASTAMENTO SIMPLES COM 1 M DE SOLO, H=9M - FORNECIMENTO E INSTALAÇÃO. AF_04/2025</t>
  </si>
  <si>
    <t xml:space="preserve"> 11.3.14 </t>
  </si>
  <si>
    <t xml:space="preserve"> 91935 </t>
  </si>
  <si>
    <t>CABO DE COBRE FLEXÍVEL ISOLADO, 16 MM², ANTI-CHAMA 0,6/1,0 KV, PARA CIRCUITOS TERMINAIS - FORNECIMENTO E INSTALAÇÃO. AF_03/2023</t>
  </si>
  <si>
    <t xml:space="preserve"> 11.3.15 </t>
  </si>
  <si>
    <t xml:space="preserve"> 11.3.16 </t>
  </si>
  <si>
    <t xml:space="preserve"> 101889 </t>
  </si>
  <si>
    <t>CABO DE COBRE ISOLADO, 25 MM², ANTI-CHAMA 0,6/1 KV, INSTALADO EM ELETROCALHA OU PERFILADO - FORNECIMENTO E INSTALAÇÃO. AF_10/2020</t>
  </si>
  <si>
    <t xml:space="preserve"> 11.3.17 </t>
  </si>
  <si>
    <t xml:space="preserve"> 92986 </t>
  </si>
  <si>
    <t>CABO DE COBRE FLEXÍVEL ISOLADO, 35 MM², ANTI-CHAMA 0,6/1,0 KV, PARA REDE ENTERRADA DE DISTRIBUIÇÃO DE ENERGIA ELÉTRICA - FORNECIMENTO E INSTALAÇÃO. AF_12/2021</t>
  </si>
  <si>
    <t xml:space="preserve"> 11.3.18 </t>
  </si>
  <si>
    <t xml:space="preserve"> 11.3.19 </t>
  </si>
  <si>
    <t xml:space="preserve"> 92988 </t>
  </si>
  <si>
    <t>CABO DE COBRE FLEXÍVEL ISOLADO, 50 MM², ANTI-CHAMA 0,6/1,0 KV, PARA REDE ENTERRADA DE DISTRIBUIÇÃO DE ENERGIA ELÉTRICA - FORNECIMENTO E INSTALAÇÃO. AF_12/2021</t>
  </si>
  <si>
    <t xml:space="preserve"> 11.3.20 </t>
  </si>
  <si>
    <t xml:space="preserve"> 11.3.21 </t>
  </si>
  <si>
    <t xml:space="preserve"> 11.3.22 </t>
  </si>
  <si>
    <t xml:space="preserve"> 11.3.23 </t>
  </si>
  <si>
    <t xml:space="preserve"> 91928 </t>
  </si>
  <si>
    <t>CABO DE COBRE FLEXÍVEL ISOLADO, 4 MM², ANTI-CHAMA 450/750 V, PARA CIRCUITOS TERMINAIS - FORNECIMENTO E INSTALAÇÃO. AF_03/2023</t>
  </si>
  <si>
    <t xml:space="preserve"> 11.3.24 </t>
  </si>
  <si>
    <t xml:space="preserve"> 91930 </t>
  </si>
  <si>
    <t>CABO DE COBRE FLEXÍVEL ISOLADO, 6 MM², ANTI-CHAMA 450/750 V, PARA CIRCUITOS TERMINAIS - FORNECIMENTO E INSTALAÇÃO. AF_03/2023</t>
  </si>
  <si>
    <t xml:space="preserve"> 11.3.25 </t>
  </si>
  <si>
    <t xml:space="preserve"> 11.3.26 </t>
  </si>
  <si>
    <t xml:space="preserve"> 11.3.27 </t>
  </si>
  <si>
    <t xml:space="preserve"> 0000314 </t>
  </si>
  <si>
    <t>CABO DE COBRE PP CORDPLAST 3 X 2,5 MM2, 450/750V - FORNECIMENTO E INSTALAÇÃO</t>
  </si>
  <si>
    <t xml:space="preserve"> 11.3.28 </t>
  </si>
  <si>
    <t xml:space="preserve"> 11.3.29 </t>
  </si>
  <si>
    <t xml:space="preserve"> 11.3.30 </t>
  </si>
  <si>
    <t xml:space="preserve"> 11.3.31 </t>
  </si>
  <si>
    <t xml:space="preserve"> 00000137 </t>
  </si>
  <si>
    <t>DISPOSITIVO DE PROTEÇÃO CONTRA SURTO DE TENSÃO DPS 45KA - TENSÃO MÁXIMA DE 275 V</t>
  </si>
  <si>
    <t xml:space="preserve"> 11.3.32 </t>
  </si>
  <si>
    <t xml:space="preserve"> 11.3.33 </t>
  </si>
  <si>
    <t xml:space="preserve"> 11.3.34 </t>
  </si>
  <si>
    <t xml:space="preserve"> 97668 </t>
  </si>
  <si>
    <t>ELETRODUTO FLEXÍVEL CORRUGADO, PEAD, DN 63 (2"), PARA REDE ENTERRADA DE DISTRIBUIÇÃO DE ENERGIA ELÉTRICA - FORNECIMENTO E INSTALAÇÃO. AF_12/2021</t>
  </si>
  <si>
    <t xml:space="preserve"> 11.3.35 </t>
  </si>
  <si>
    <t xml:space="preserve"> 11.3.36 </t>
  </si>
  <si>
    <t xml:space="preserve"> 97670 </t>
  </si>
  <si>
    <t>ELETRODUTO FLEXÍVEL CORRUGADO, PEAD, DN 100 (4"), PARA REDE ENTERRADA DE DISTRIBUIÇÃO DE ENERGIA ELÉTRICA - FORNECIMENTO E INSTALAÇÃO. AF_12/2021</t>
  </si>
  <si>
    <t xml:space="preserve"> 11.3.37 </t>
  </si>
  <si>
    <t xml:space="preserve"> 91914 </t>
  </si>
  <si>
    <t>CURVA 90 GRAUS PARA ELETRODUTO, PVC, ROSCÁVEL, DN 25 MM (3/4"), PARA CIRCUITOS TERMINAIS, INSTALADA EM PAREDE - FORNECIMENTO E INSTALAÇÃO. AF_03/2023</t>
  </si>
  <si>
    <t xml:space="preserve"> 11.3.38 </t>
  </si>
  <si>
    <t xml:space="preserve"> 91863 </t>
  </si>
  <si>
    <t>ELETRODUTO RÍGIDO ROSCÁVEL, PVC, DN 25 MM (3/4"), PARA CIRCUITOS TERMINAIS, INSTALADO EM FORRO - FORNECIMENTO E INSTALAÇÃO. AF_03/2023</t>
  </si>
  <si>
    <t xml:space="preserve"> 11.3.39 </t>
  </si>
  <si>
    <t xml:space="preserve"> 101657 </t>
  </si>
  <si>
    <t>LUMINÁRIA DE LED PARA ILUMINAÇÃO PÚBLICA, DE 98 W ATÉ 137 W - FORNECIMENTO E INSTALAÇÃO. AF_02/2025_PS</t>
  </si>
  <si>
    <t xml:space="preserve"> 11.3.40 </t>
  </si>
  <si>
    <t xml:space="preserve"> 101658 </t>
  </si>
  <si>
    <t>LUMINÁRIA DE LED PARA ILUMINAÇÃO PÚBLICA, DE 138 W ATÉ 180 W - FORNECIMENTO E INSTALAÇÃO. AF_02/2025_PS</t>
  </si>
  <si>
    <t xml:space="preserve"> 11.3.41 </t>
  </si>
  <si>
    <t xml:space="preserve"> 11.3.42 </t>
  </si>
  <si>
    <t xml:space="preserve"> 101946 </t>
  </si>
  <si>
    <t>QUADRO DE MEDIÇÃO GERAL DE ENERGIA PARA 1 MEDIDOR DE SOBREPOR - FORNECIMENTO E INSTALAÇÃO. AF_10/2020</t>
  </si>
  <si>
    <t xml:space="preserve"> 11.3.43 </t>
  </si>
  <si>
    <t xml:space="preserve"> 101878 </t>
  </si>
  <si>
    <t>QUADRO DE DISTRIBUIÇÃO DE ENERGIA EM CHAPA DE AÇO GALVANIZADO, DE SOBREPOR, COM BARRAMENTO TRIFÁSICO, PARA 18 DISJUNTORES DIN 100A - FORNECIMENTO E INSTALAÇÃO. AF_10/2020</t>
  </si>
  <si>
    <t xml:space="preserve"> 11.3.44 </t>
  </si>
  <si>
    <t xml:space="preserve"> 11.3.45 </t>
  </si>
  <si>
    <t xml:space="preserve"> 11.3.46 </t>
  </si>
  <si>
    <t xml:space="preserve"> 00002631 </t>
  </si>
  <si>
    <t>QUADRO DE DISTRIBUIÇÃO DE ENERGIA EM CHAPA DE AÇO GALVANIZADO, DE SOBREPOR, COM BARRAMENTO TRIFÁSICO, PARA 30 DISJUNTORES DIN 100A - FORNECIMENTO E INSTALAÇÃO.</t>
  </si>
  <si>
    <t xml:space="preserve"> 11.3.47 </t>
  </si>
  <si>
    <t xml:space="preserve"> 101632 </t>
  </si>
  <si>
    <t>RELÉ FOTOELÉTRICO PARA COMANDO DE ILUMINAÇÃO EXTERNA 1000 W - FORNECIMENTO E INSTALAÇÃO. AF_02/2025</t>
  </si>
  <si>
    <t xml:space="preserve"> 11.3.48 </t>
  </si>
  <si>
    <t xml:space="preserve"> 00003959 </t>
  </si>
  <si>
    <t>Disjuntor Tripolar Termomagnético - norma DIN (Curva C)  500 A - 50 kA</t>
  </si>
  <si>
    <t xml:space="preserve"> 11.3.49 </t>
  </si>
  <si>
    <t xml:space="preserve"> 00003497 </t>
  </si>
  <si>
    <t>CHAVE DE PARTIDA DIRETA MONOFÁSICA PARA MOTORES DE 0,5 CV 220 V - FORNECIMENTO E INSTALAÇÃO</t>
  </si>
  <si>
    <t xml:space="preserve"> 11.3.50 </t>
  </si>
  <si>
    <t xml:space="preserve"> 93358 </t>
  </si>
  <si>
    <t>ESCAVAÇÃO MANUAL DE VALA. AF_09/2024</t>
  </si>
  <si>
    <t xml:space="preserve"> 11.4 </t>
  </si>
  <si>
    <t>SUBESTAÇÃO</t>
  </si>
  <si>
    <t xml:space="preserve"> 11.4.1 </t>
  </si>
  <si>
    <t xml:space="preserve"> 00001470 </t>
  </si>
  <si>
    <t>SUBESTAÇÃO ÁEREA COMPLETA 300 KVA/13.800-380/220V, INCLUSIVE QUADRO DE MEDIÇÃO, PROTEÇÃO GERAL, POSTES, CRUZETAS,TRANSFORMADOR, LIGAÇÃO E MURETA. R_05/2019</t>
  </si>
  <si>
    <t>und</t>
  </si>
  <si>
    <t xml:space="preserve"> 11.5 </t>
  </si>
  <si>
    <t>PAVIMENTAÇÃO</t>
  </si>
  <si>
    <t xml:space="preserve"> 11.5.1 </t>
  </si>
  <si>
    <t xml:space="preserve"> 00003462 </t>
  </si>
  <si>
    <t>Regularização do subleito - 100% Proctor intermediário</t>
  </si>
  <si>
    <t xml:space="preserve"> 11.5.2 </t>
  </si>
  <si>
    <t xml:space="preserve"> 00003463 </t>
  </si>
  <si>
    <t>Base ou sub-base de brita graduada com brita comercial - 100% Proctor modificado</t>
  </si>
  <si>
    <t xml:space="preserve"> 11.5.3 </t>
  </si>
  <si>
    <t xml:space="preserve"> 92396 </t>
  </si>
  <si>
    <t>EXECUÇÃO DE PASSEIO EM PISO INTERTRAVADO, COM BLOCO RETANGULAR COR NATURAL DE 20 X 10 CM, ESPESSURA 6 CM. AF_10/2022</t>
  </si>
  <si>
    <t xml:space="preserve"> 11.5.4 </t>
  </si>
  <si>
    <t xml:space="preserve"> 00001433 </t>
  </si>
  <si>
    <t>EXECUÇÃO DE PAVIMENTO DE CONCRETO ARMADO (PCA), FCK = 30 MPA - MALHA DE Q283 6.3 MM -ESPESSURA DE 15 CM</t>
  </si>
  <si>
    <t xml:space="preserve"> 11.5.5 </t>
  </si>
  <si>
    <t xml:space="preserve"> 92400 </t>
  </si>
  <si>
    <t>EXECUÇÃO DE PAVIMENTO EM PISO INTERTRAVADO, COM BLOCO RETANGULAR DE 20 X 10 CM, ESPESSURA 10 CM. AF_10/2022</t>
  </si>
  <si>
    <t xml:space="preserve"> 11.5.6 </t>
  </si>
  <si>
    <t xml:space="preserve"> 102507 </t>
  </si>
  <si>
    <t>PINTURA DE DEMARCAÇÃO DE VAGA COM TINTA EPÓXI, E = 10 CM, APLICAÇÃO MANUAL. AF_05/2021</t>
  </si>
  <si>
    <t xml:space="preserve"> 11.5.7 </t>
  </si>
  <si>
    <t xml:space="preserve"> 105004 </t>
  </si>
  <si>
    <t>RAMPA DE ACESSIBILIDADE EM CONCRETO MOLDADO IN LOCO, EM CALÇADA NOVA COM LARGURA MENOR À 3,00 M, FCK 25MPA, COM PISO PODOTÁTIL. AF_03/2024</t>
  </si>
  <si>
    <t xml:space="preserve"> 11.5.8 </t>
  </si>
  <si>
    <t xml:space="preserve"> 103699 </t>
  </si>
  <si>
    <t>FORNECIMENTO E INSTALAÇÃO DE PLACA DE SINALIZAÇÃO EM CHAPA DE AÇO EM SUPORTE METÁLICO. AF_03/2022</t>
  </si>
  <si>
    <t xml:space="preserve"> 11.6 </t>
  </si>
  <si>
    <t>PAISAGISMO</t>
  </si>
  <si>
    <t xml:space="preserve"> 11.6.1 </t>
  </si>
  <si>
    <t xml:space="preserve"> 98511 </t>
  </si>
  <si>
    <t>PLANTIO DE ÁRVORE ORNAMENTAL COM ALTURA DE MUDA MAIOR QUE 2,00 M E MENOR OU IGUAL A 4,00 M . AF_07/2024</t>
  </si>
  <si>
    <t xml:space="preserve"> 11.6.2 </t>
  </si>
  <si>
    <t xml:space="preserve"> 103946 </t>
  </si>
  <si>
    <t>PLANTIO DE GRAMA ESMERALDA OU SÃO CARLOS OU CURITIBANA, EM PLACAS. AF_07/2024</t>
  </si>
  <si>
    <t xml:space="preserve"> 11.6.3 </t>
  </si>
  <si>
    <t xml:space="preserve"> 98505 </t>
  </si>
  <si>
    <t>PLANTIO DE FORRAÇÃO. AF_07/2024</t>
  </si>
  <si>
    <t xml:space="preserve"> 11.6.4 </t>
  </si>
  <si>
    <t xml:space="preserve"> 98509 </t>
  </si>
  <si>
    <t>PLANTIO DE ARBUSTO OU CERCA VIVA. AF_07/2024</t>
  </si>
  <si>
    <t xml:space="preserve"> 11.6.5 </t>
  </si>
  <si>
    <t xml:space="preserve"> 98520 </t>
  </si>
  <si>
    <t>APLICAÇÃO DE ADUBO EM SOLO. AF_07/2024</t>
  </si>
  <si>
    <t xml:space="preserve"> 11.7 </t>
  </si>
  <si>
    <t>DRENAGEM</t>
  </si>
  <si>
    <t xml:space="preserve"> 11.7.1 </t>
  </si>
  <si>
    <t xml:space="preserve"> 94273 </t>
  </si>
  <si>
    <t>ASSENTAMENTO DE GUIA (MEIO-FIO) EM TRECHO RETO, CONFECCIONADA EM CONCRETO PRÉ-FABRICADO, DIMENSÕES 100X15X13X30 CM (COMPRIMENTO X BASE INFERIOR X BASE SUPERIOR X ALTURA). AF_01/2024</t>
  </si>
  <si>
    <t xml:space="preserve"> 11.7.2 </t>
  </si>
  <si>
    <t xml:space="preserve"> 00002615 </t>
  </si>
  <si>
    <t>Poço de visita - PVI  - areia e brita comerciais com tampa de grelha</t>
  </si>
  <si>
    <t>un</t>
  </si>
  <si>
    <t xml:space="preserve"> 11.7.3 </t>
  </si>
  <si>
    <t>Tubo PEAD para drenagem - D = 200 mm - fornecimento e instalação</t>
  </si>
  <si>
    <t xml:space="preserve"> 11.7.4 </t>
  </si>
  <si>
    <t xml:space="preserve"> 00001444 </t>
  </si>
  <si>
    <t>Tubo PEAD para drenagem - D = 300 mm - fornecimento e instalação</t>
  </si>
  <si>
    <t xml:space="preserve"> 11.7.5 </t>
  </si>
  <si>
    <t xml:space="preserve"> 97936 </t>
  </si>
  <si>
    <t>CAIXA PARA BOCA DE LOBO DUPLA RETANGULAR, EM CONCRETO PRÉ-MOLDADO, DIMENSÕES INTERNAS: 0,6X2,2X1,2 M. AF_12/2020</t>
  </si>
  <si>
    <t xml:space="preserve"> 11.7.6 </t>
  </si>
  <si>
    <t xml:space="preserve"> 99272 </t>
  </si>
  <si>
    <t>POÇO DE INSPEÇÃO CIRCULAR PARA DRENAGEM, EM ALVENARIA COM TIJOLOS CERÂMICOS MACIÇOS, DIÂMETRO INTERNO = 0,60 M, PROFUNDIDADE = 0,95 M, EXCLUINDO TAMPÃO. AF_12/2020</t>
  </si>
  <si>
    <t xml:space="preserve"> 11.8 </t>
  </si>
  <si>
    <t>ETE</t>
  </si>
  <si>
    <t xml:space="preserve"> 11.8.1 </t>
  </si>
  <si>
    <t xml:space="preserve"> 00002662 </t>
  </si>
  <si>
    <t>ETE - ESTAÇÃO DE TRATAMENTO DE ESGOTO ETE CAETES</t>
  </si>
  <si>
    <t xml:space="preserve"> 11.8.2 </t>
  </si>
  <si>
    <t xml:space="preserve"> 00005503 </t>
  </si>
  <si>
    <t>TRANSPORTE (FRETE) DE ESTAÇÃO DE TRATAMENTO DE ESGOTO - DMT 2.485KM (ETE CAETÉS)</t>
  </si>
  <si>
    <t xml:space="preserve"> 11.9 </t>
  </si>
  <si>
    <t>MURO EXTERNO</t>
  </si>
  <si>
    <t xml:space="preserve"> 11.9.1 </t>
  </si>
  <si>
    <t xml:space="preserve"> 11.9.2 </t>
  </si>
  <si>
    <t xml:space="preserve"> 87893 </t>
  </si>
  <si>
    <t>CHAPISCO APLICADO EM ALVENARIA (SEM PRESENÇA DE VÃOS) E ESTRUTURAS DE CONCRETO DE FACHADA, COM COLHER DE PEDREIRO. ARGAMASSA TRAÇO 1:3 COM PREPARO MANUAL. AF_10/2022</t>
  </si>
  <si>
    <t xml:space="preserve"> 11.9.3 </t>
  </si>
  <si>
    <t xml:space="preserve"> 87794 </t>
  </si>
  <si>
    <t>EMBOÇO OU MASSA ÚNICA EM ARGAMASSA TRAÇO 1:2:8, PREPARO MANUAL, APLICADA MANUALMENTE EM PANOS CEGOS DE FACHADA (SEM PRESENÇA DE VÃOS), ESPESSURA DE 25 MM. AF_09/2022</t>
  </si>
  <si>
    <t xml:space="preserve"> 11.9.4 </t>
  </si>
  <si>
    <t xml:space="preserve"> 96130 </t>
  </si>
  <si>
    <t>APLICAÇÃO MANUAL DE MASSA ACRÍLICA EM PAREDES EXTERNAS DE CASAS, UMA DEMÃO. AF_03/2024</t>
  </si>
  <si>
    <t xml:space="preserve"> 11.9.5 </t>
  </si>
  <si>
    <t xml:space="preserve"> 104641 </t>
  </si>
  <si>
    <t>PINTURA LÁTEX ACRÍLICA ECONÔMICA, APLICAÇÃO MANUAL EM PAREDES, DUAS DEMÃOS. AF_04/2023</t>
  </si>
  <si>
    <t xml:space="preserve"> 11.9.6 </t>
  </si>
  <si>
    <t xml:space="preserve"> 00003515 </t>
  </si>
  <si>
    <t>GRADIL NYLOFOR INCLUSIVE POSTE OU EQUIVALENTE</t>
  </si>
  <si>
    <t xml:space="preserve"> 11.9.7 </t>
  </si>
  <si>
    <t xml:space="preserve"> 00001120 </t>
  </si>
  <si>
    <t>Grade em tubo de ferro galvanizado com quadro de DN 2", e barras verticais de DN 1 1/4" a cada 10cm</t>
  </si>
  <si>
    <t xml:space="preserve"> 11.9.8 </t>
  </si>
  <si>
    <t xml:space="preserve"> 11.9.9 </t>
  </si>
  <si>
    <t xml:space="preserve"> 11.9.10 </t>
  </si>
  <si>
    <t xml:space="preserve"> 11.9.11 </t>
  </si>
  <si>
    <t xml:space="preserve"> 11.9.12 </t>
  </si>
  <si>
    <t xml:space="preserve"> 11.9.13 </t>
  </si>
  <si>
    <t xml:space="preserve"> 11.9.14 </t>
  </si>
  <si>
    <t xml:space="preserve"> 11.9.15 </t>
  </si>
  <si>
    <t xml:space="preserve"> 11.9.16 </t>
  </si>
  <si>
    <t xml:space="preserve"> 11.9.17 </t>
  </si>
  <si>
    <t xml:space="preserve"> 11.9.18 </t>
  </si>
  <si>
    <t xml:space="preserve"> 11.9.19 </t>
  </si>
  <si>
    <t xml:space="preserve"> 11.9.20 </t>
  </si>
  <si>
    <t xml:space="preserve"> 11.9.21 </t>
  </si>
  <si>
    <t xml:space="preserve"> 11.9.22 </t>
  </si>
  <si>
    <t xml:space="preserve"> 11.9.23 </t>
  </si>
  <si>
    <t xml:space="preserve"> 11.9.24 </t>
  </si>
  <si>
    <t xml:space="preserve"> 11.9.25 </t>
  </si>
  <si>
    <t xml:space="preserve"> 11.9.26 </t>
  </si>
  <si>
    <t xml:space="preserve"> 11.10 </t>
  </si>
  <si>
    <t>CABEAMENTO ESTRUTURADO</t>
  </si>
  <si>
    <t xml:space="preserve"> 11.10.1 </t>
  </si>
  <si>
    <t xml:space="preserve"> 98302 </t>
  </si>
  <si>
    <t>PATCH PANEL 24 PORTAS, CATEGORIA 6 - FORNECIMENTO E INSTALAÇÃO. AF_11/2019</t>
  </si>
  <si>
    <t xml:space="preserve"> 11.10.2 </t>
  </si>
  <si>
    <t xml:space="preserve"> 101795 </t>
  </si>
  <si>
    <t>CAIXA ENTERRADA PARA INSTALAÇÕES TELEFÔNICAS TIPO R1, EM ALVENARIA COM BLOCOS DE CONCRETO, DIMENSÕES INTERNAS: 0,35X0,60X0,60 M, EXCLUINDO TAMPÃO. AF_12/2020</t>
  </si>
  <si>
    <t xml:space="preserve"> 11.10.3 </t>
  </si>
  <si>
    <t xml:space="preserve"> 11.10.4 </t>
  </si>
  <si>
    <t xml:space="preserve"> 11.10.5 </t>
  </si>
  <si>
    <t xml:space="preserve"> 00001292 </t>
  </si>
  <si>
    <t>ELETRODUTO METALICO FLEXIVEL DN 25MM FABRICADO COM FITA DE ACO ZINCADO, REVESTIDO EXTERNAMENTE COM  PVC PRETO, INCLUSIVE CONEXOES, FORNECIMENTO E INSTALACAO</t>
  </si>
  <si>
    <t xml:space="preserve"> 11.10.6 </t>
  </si>
  <si>
    <t xml:space="preserve"> 91839 </t>
  </si>
  <si>
    <t>ELETRODUTO FLEXÍVEL LISO, PEAD, DN 32 MM (1"), PARA CIRCUITOS TERMINAIS, INSTALADO EM FORRO - FORNECIMENTO E INSTALAÇÃO. AF_03/2023</t>
  </si>
  <si>
    <t xml:space="preserve"> 11.10.7 </t>
  </si>
  <si>
    <t xml:space="preserve"> 11.10.8 </t>
  </si>
  <si>
    <t xml:space="preserve"> 11.10.9 </t>
  </si>
  <si>
    <t xml:space="preserve"> 11.10.10 </t>
  </si>
  <si>
    <t xml:space="preserve"> 00002536 </t>
  </si>
  <si>
    <t>Eletroduto 680N 1.1/2"</t>
  </si>
  <si>
    <t xml:space="preserve"> 11.10.11 </t>
  </si>
  <si>
    <t xml:space="preserve"> 00002538 </t>
  </si>
  <si>
    <t>Eletroduto 680N 1.1/4"</t>
  </si>
  <si>
    <t xml:space="preserve"> 11.10.12 </t>
  </si>
  <si>
    <t xml:space="preserve"> 98305 </t>
  </si>
  <si>
    <t>RACK FECHADO PARA SERVIDOR - FORNECIMENTO E INSTALAÇÃO. AF_11/2019</t>
  </si>
  <si>
    <t xml:space="preserve"> 11.10.13 </t>
  </si>
  <si>
    <t xml:space="preserve"> 0000430 </t>
  </si>
  <si>
    <t>SWITCH (10/100)BASETX - 8 PORTAS</t>
  </si>
  <si>
    <t xml:space="preserve"> 11.10.14 </t>
  </si>
  <si>
    <t xml:space="preserve"> 11.10.15 </t>
  </si>
  <si>
    <t xml:space="preserve"> 91942 </t>
  </si>
  <si>
    <t>CAIXA RETANGULAR 4" X 4" ALTA (2,00 M DO PISO), PVC, INSTALADA EM PAREDE - FORNECIMENTO E INSTALAÇÃO. AF_03/2023</t>
  </si>
  <si>
    <t xml:space="preserve"> 11.10.16 </t>
  </si>
  <si>
    <t xml:space="preserve"> 11.10.17 </t>
  </si>
  <si>
    <t xml:space="preserve"> 91917 </t>
  </si>
  <si>
    <t>CURVA 90 GRAUS PARA ELETRODUTO, PVC, ROSCÁVEL, DN 32 MM (1"), PARA CIRCUITOS TERMINAIS, INSTALADA EM PAREDE - FORNECIMENTO E INSTALAÇÃO. AF_03/2023</t>
  </si>
  <si>
    <t xml:space="preserve"> 11.10.18 </t>
  </si>
  <si>
    <t xml:space="preserve"> 91885 </t>
  </si>
  <si>
    <t>LUVA PARA ELETRODUTO, PVC, ROSCÁVEL, DN 32 MM (1"), PARA CIRCUITOS TERMINAIS, INSTALADA EM PAREDE - FORNECIMENTO E INSTALAÇÃO. AF_03/2023</t>
  </si>
  <si>
    <t xml:space="preserve"> 11.10.19 </t>
  </si>
  <si>
    <t xml:space="preserve"> 91886 </t>
  </si>
  <si>
    <t>LUVA PARA ELETRODUTO, PVC, ROSCÁVEL, DN 40 MM (1 1/4"), PARA CIRCUITOS TERMINAIS, INSTALADA EM PAREDE - FORNECIMENTO E INSTALAÇÃO. AF_03/2023</t>
  </si>
  <si>
    <t xml:space="preserve"> 11.10.20 </t>
  </si>
  <si>
    <t xml:space="preserve"> 98264 </t>
  </si>
  <si>
    <t>CABO TELEFÔNICO CCI-50 4 PARES, SEM BLINDAGEM, INSTALADO EM ENTRADA DE EDIFICAÇÃO - FORNECIMENTO E INSTALAÇÃO. AF_11/2019</t>
  </si>
  <si>
    <t xml:space="preserve"> 11.10.21 </t>
  </si>
  <si>
    <t xml:space="preserve"> 0000288 </t>
  </si>
  <si>
    <t>CAIXA DE PASSAGEM - ALVENARIA - TAMPA 400X400X50MM</t>
  </si>
  <si>
    <t xml:space="preserve"> 11.10.22 </t>
  </si>
  <si>
    <t xml:space="preserve"> 11.10.23 </t>
  </si>
  <si>
    <t xml:space="preserve"> 91949 </t>
  </si>
  <si>
    <t>SUPORTE PARAFUSADO COM PLACA DE ENCAIXE 4" X 4" ALTO (2,00 M DO PISO) PARA PONTO ELÉTRICO - FORNECIMENTO E INSTALAÇÃO. AF_03/2023</t>
  </si>
  <si>
    <t xml:space="preserve"> 11.10.24 </t>
  </si>
  <si>
    <t xml:space="preserve"> 98307 </t>
  </si>
  <si>
    <t>TOMADA DE REDE RJ45 - FORNECIMENTO E INSTALAÇÃO. AF_11/2019</t>
  </si>
  <si>
    <t xml:space="preserve"> 11.10.25 </t>
  </si>
  <si>
    <t xml:space="preserve"> 11.10.26 </t>
  </si>
  <si>
    <t xml:space="preserve"> 103491 </t>
  </si>
  <si>
    <t>CONCRETAGEM COMO PROTEÇÃO MECÂNICA ADICIONAL NO REATERRO PARA REDE ENTERRADA DE DISTRIBUIÇÃO DE ENERGIA ELÉTRICA - FORNECIMENTO E INSTALAÇÃO. AF_12/2021</t>
  </si>
  <si>
    <t xml:space="preserve"> 11.10.27 </t>
  </si>
  <si>
    <t xml:space="preserve"> 11.10.28 </t>
  </si>
  <si>
    <t xml:space="preserve"> 93015 </t>
  </si>
  <si>
    <t>LUVA PARA ELETRODUTO, PVC, ROSCÁVEL, DN 75 MM (2 1/2"), PARA REDE ENTERRADA DE DISTRIBUIÇÃO DE ENERGIA ELÉTRICA - FORNECIMENTO E INSTALAÇÃO. AF_12/2021</t>
  </si>
  <si>
    <t xml:space="preserve"> 11.10.29 </t>
  </si>
  <si>
    <t xml:space="preserve"> 11.10.30 </t>
  </si>
  <si>
    <t xml:space="preserve"> 11.10.31 </t>
  </si>
  <si>
    <t xml:space="preserve"> 93008 </t>
  </si>
  <si>
    <t>ELETRODUTO RÍGIDO ROSCÁVEL, PVC, DN 50 MM (1 1/2"), PARA REDE ENTERRADA DE DISTRIBUIÇÃO DE ENERGIA ELÉTRICA - FORNECIMENTO E INSTALAÇÃO. AF_12/2021</t>
  </si>
  <si>
    <t xml:space="preserve"> 11.10.32 </t>
  </si>
  <si>
    <t xml:space="preserve"> 91873 </t>
  </si>
  <si>
    <t>ELETRODUTO RÍGIDO ROSCÁVEL, PVC, DN 40 MM (1 1/4"), PARA CIRCUITOS TERMINAIS, INSTALADO EM PAREDE - FORNECIMENTO E INSTALAÇÃO. AF_03/2023</t>
  </si>
  <si>
    <t xml:space="preserve"> 11.10.33 </t>
  </si>
  <si>
    <t xml:space="preserve"> 93010 </t>
  </si>
  <si>
    <t>ELETRODUTO RÍGIDO ROSCÁVEL, PVC, DN 75 MM (2 1/2"), PARA REDE ENTERRADA DE DISTRIBUIÇÃO DE ENERGIA ELÉTRICA - FORNECIMENTO E INSTALAÇÃO. AF_12/2021</t>
  </si>
  <si>
    <t xml:space="preserve"> 11.10.34 </t>
  </si>
  <si>
    <t xml:space="preserve"> 11.10.35 </t>
  </si>
  <si>
    <t>CAMERA DE SEGURANÇA TIPO BULLET - FORNECIMENTO E INSTALAÇÃO</t>
  </si>
  <si>
    <t xml:space="preserve"> 11.10.36 </t>
  </si>
  <si>
    <t xml:space="preserve"> 00003961 </t>
  </si>
  <si>
    <t>CÂMERA DE SEGURANÇA TIPO DOME</t>
  </si>
  <si>
    <t xml:space="preserve"> 11.10.37 </t>
  </si>
  <si>
    <t xml:space="preserve"> 11.11 </t>
  </si>
  <si>
    <t>SISTEMA DE PROTEÇÃO CONTRA DESCARGAS ATMOSFÉRICAS - SPDA</t>
  </si>
  <si>
    <t xml:space="preserve"> 11.11.1 </t>
  </si>
  <si>
    <t xml:space="preserve"> 96977 </t>
  </si>
  <si>
    <t>CORDOALHA DE COBRE NU 50 MM², ENTERRADA - FORNECIMENTO E INSTALAÇÃO. AF_08/2023</t>
  </si>
  <si>
    <t xml:space="preserve"> 11.11.2 </t>
  </si>
  <si>
    <t xml:space="preserve"> 96973 </t>
  </si>
  <si>
    <t>CORDOALHA DE COBRE NU 35 MM², NÃO ENTERRADA, COM ISOLADOR - FORNECIMENTO E INSTALAÇÃO. AF_08/2023</t>
  </si>
  <si>
    <t xml:space="preserve"> 11.11.3 </t>
  </si>
  <si>
    <t xml:space="preserve"> 96986 </t>
  </si>
  <si>
    <t>HASTE DE ATERRAMENTO, DIÂMETRO 3/4", COM 3 METROS - FORNECIMENTO E INSTALAÇÃO. AF_08/2023</t>
  </si>
  <si>
    <t xml:space="preserve"> 11.11.4 </t>
  </si>
  <si>
    <t xml:space="preserve"> 104749 </t>
  </si>
  <si>
    <t>CONECTOR GRAMPO METÁLICO TIPO OLHAL, PARA SPDA, PARA HASTE DE ATERRAMENTO DE 3/4'' E CABOS DE 10 A 50 MM2 - FORNECIMENTO E INSTALAÇÃO. AF_08/2023</t>
  </si>
  <si>
    <t xml:space="preserve"> 11.11.5 </t>
  </si>
  <si>
    <t xml:space="preserve"> 104753 </t>
  </si>
  <si>
    <t>CONECTOR SPLIT-BOLT, PARA SPDA, PARA CABOS ATÉ 50 MM2 - FORNECIMENTO E INSTALAÇÃO. AF_08/2023</t>
  </si>
  <si>
    <t xml:space="preserve"> 11.11.6 </t>
  </si>
  <si>
    <t xml:space="preserve"> 11.11.7 </t>
  </si>
  <si>
    <t xml:space="preserve"> 104746 </t>
  </si>
  <si>
    <t>MINI CAPTOR PARA SPDA - FORNECIMENTO E INSTALAÇÃO. AF_08/2023</t>
  </si>
  <si>
    <t xml:space="preserve"> 11.11.8 </t>
  </si>
  <si>
    <t xml:space="preserve"> 96984 </t>
  </si>
  <si>
    <t>ELETRODUTO PVC RÍGIDO, DIÂMETRO 40MM, COM 3 METROS, PARA SPDA - FORNECIMENTO E INSTALAÇÃO. AF_08/2023</t>
  </si>
  <si>
    <t xml:space="preserve"> 11.11.9 </t>
  </si>
  <si>
    <t xml:space="preserve"> 00000125 </t>
  </si>
  <si>
    <t>BASE METÁLICA PARA MASTRO Ø 2” PARA SPDA - FORNECIMENTO E INSTALAÇÃO</t>
  </si>
  <si>
    <t xml:space="preserve"> 11.11.10 </t>
  </si>
  <si>
    <t xml:space="preserve"> 00000126 </t>
  </si>
  <si>
    <t>CAPTOR TIPO FRANKLIN PARA SPDA 2" - FORNECIMENTO E INSTALAÇÃO</t>
  </si>
  <si>
    <t xml:space="preserve"> 11.11.11 </t>
  </si>
  <si>
    <t xml:space="preserve"> 00003888 </t>
  </si>
  <si>
    <t>SOLDA EXOTÉRMICA PARA SPDA - FORNECIMENTO E INSTALAÇÃO.</t>
  </si>
  <si>
    <t xml:space="preserve"> 11.11.12 </t>
  </si>
  <si>
    <t xml:space="preserve"> 00003891 </t>
  </si>
  <si>
    <t>CAIXA DE EQUALIZAÇÃO COMPLETA NAS DIMENSÕES 40X40X15CM, COM BARRAMENTO COM 11 TERMINAIS, CONFORME ESPECIFICAÇÃO DE PROJETO - FORNECIMENTO E INSTALAÇÃO.</t>
  </si>
  <si>
    <t xml:space="preserve"> 11.11.13 </t>
  </si>
  <si>
    <t xml:space="preserve"> 5588 </t>
  </si>
  <si>
    <t>FORNECIMENTO E INSTALAÇÃO DE CAIXA DE INSPEÇÃO SUSPENSA POLIAMIDA 150x110 40MM</t>
  </si>
  <si>
    <t xml:space="preserve"> 11.11.14 </t>
  </si>
  <si>
    <t xml:space="preserve"> 00004970 </t>
  </si>
  <si>
    <t>Barra chata em alumínio - com furos 7/8" x 1/8"</t>
  </si>
  <si>
    <t xml:space="preserve"> 11.11.15 </t>
  </si>
  <si>
    <t xml:space="preserve"> 5602 </t>
  </si>
  <si>
    <t>FORNECIMENTO E INSTALAÇÃO DE CONECTOR DE EMENDA DE BARRA CHATA COM CABO DE COBRE NÚ 35MM²</t>
  </si>
  <si>
    <t xml:space="preserve"> 11.11.16 </t>
  </si>
  <si>
    <t xml:space="preserve"> 00004003 </t>
  </si>
  <si>
    <t>TERMINAL À COMPRESSÃO PARA CABO DE COBRE NU 50MM²</t>
  </si>
  <si>
    <t xml:space="preserve"> 11.11.17 </t>
  </si>
  <si>
    <t xml:space="preserve"> 00004968 </t>
  </si>
  <si>
    <t>CONECTORES FIXADOR UNIVERSAL DE SPDA BIMETÁLICO</t>
  </si>
  <si>
    <t xml:space="preserve"> 13.1 </t>
  </si>
  <si>
    <t xml:space="preserve"> 13.1.1 </t>
  </si>
  <si>
    <t xml:space="preserve"> 13.1.2 </t>
  </si>
  <si>
    <t xml:space="preserve"> 13.1.3 </t>
  </si>
  <si>
    <t xml:space="preserve"> 13.1.4 </t>
  </si>
  <si>
    <t xml:space="preserve"> 13.1.5 </t>
  </si>
  <si>
    <t xml:space="preserve"> 13.1.6 </t>
  </si>
  <si>
    <t xml:space="preserve"> 13.1.7 </t>
  </si>
  <si>
    <t xml:space="preserve"> 13.1.8 </t>
  </si>
  <si>
    <t xml:space="preserve"> 13.1.9 </t>
  </si>
  <si>
    <t xml:space="preserve"> 13.1.10 </t>
  </si>
  <si>
    <t xml:space="preserve"> 13.1.11 </t>
  </si>
  <si>
    <t xml:space="preserve"> 13.1.12 </t>
  </si>
  <si>
    <t xml:space="preserve"> 13.1.13 </t>
  </si>
  <si>
    <t xml:space="preserve"> 13.1.14 </t>
  </si>
  <si>
    <t xml:space="preserve"> 13.1.15 </t>
  </si>
  <si>
    <t xml:space="preserve"> 14.1 </t>
  </si>
  <si>
    <t xml:space="preserve"> 14.1.1 </t>
  </si>
  <si>
    <t xml:space="preserve"> 14.1.2 </t>
  </si>
  <si>
    <t xml:space="preserve"> 14.1.3 </t>
  </si>
  <si>
    <t xml:space="preserve"> 14.1.4 </t>
  </si>
  <si>
    <t xml:space="preserve"> 14.1.5 </t>
  </si>
  <si>
    <t xml:space="preserve"> 14.1.6 </t>
  </si>
  <si>
    <t xml:space="preserve"> 14.1.7 </t>
  </si>
  <si>
    <t xml:space="preserve"> 14.1.8 </t>
  </si>
  <si>
    <t xml:space="preserve"> 14.1.9 </t>
  </si>
  <si>
    <t xml:space="preserve"> 14.1.10 </t>
  </si>
  <si>
    <t xml:space="preserve"> 14.1.11 </t>
  </si>
  <si>
    <t xml:space="preserve"> 14.1.12 </t>
  </si>
  <si>
    <t xml:space="preserve"> 14.1.13 </t>
  </si>
  <si>
    <t xml:space="preserve"> 14.1.14 </t>
  </si>
  <si>
    <t xml:space="preserve"> 14.1.15 </t>
  </si>
  <si>
    <t xml:space="preserve"> 14.1.16 </t>
  </si>
  <si>
    <t xml:space="preserve"> 14.1.17 </t>
  </si>
  <si>
    <t xml:space="preserve"> 14.1.18 </t>
  </si>
  <si>
    <t xml:space="preserve"> 14.1.19 </t>
  </si>
  <si>
    <t xml:space="preserve"> 101165 </t>
  </si>
  <si>
    <t>ALVENARIA DE EMBASAMENTO COM BLOCO ESTRUTURAL DE CONCRETO, DE 14X19X29CM E ARGAMASSA DE ASSENTAMENTO COM PREPARO EM BETONEIRA. AF_05/2020</t>
  </si>
  <si>
    <t xml:space="preserve"> 14.2 </t>
  </si>
  <si>
    <t xml:space="preserve"> 14.2.1 </t>
  </si>
  <si>
    <t xml:space="preserve"> 14.2.2 </t>
  </si>
  <si>
    <t xml:space="preserve"> 14.2.3 </t>
  </si>
  <si>
    <t xml:space="preserve"> 14.2.4 </t>
  </si>
  <si>
    <t xml:space="preserve"> 14.2.5 </t>
  </si>
  <si>
    <t xml:space="preserve"> 14.2.6 </t>
  </si>
  <si>
    <t xml:space="preserve"> 14.2.7 </t>
  </si>
  <si>
    <t xml:space="preserve"> 14.2.8 </t>
  </si>
  <si>
    <t xml:space="preserve"> 14.2.9 </t>
  </si>
  <si>
    <t xml:space="preserve"> 14.2.10 </t>
  </si>
  <si>
    <t xml:space="preserve"> 14.2.11 </t>
  </si>
  <si>
    <t xml:space="preserve"> 14.2.12 </t>
  </si>
  <si>
    <t xml:space="preserve"> 14.2.13 </t>
  </si>
  <si>
    <t xml:space="preserve"> 15.1 </t>
  </si>
  <si>
    <t xml:space="preserve"> 15.1.1 </t>
  </si>
  <si>
    <t xml:space="preserve"> 00003168 </t>
  </si>
  <si>
    <t xml:space="preserve"> 16 </t>
  </si>
  <si>
    <t xml:space="preserve"> 16.1 </t>
  </si>
  <si>
    <t xml:space="preserve"> 00606 </t>
  </si>
  <si>
    <t>MASTRO PARA ENTRADA ETE</t>
  </si>
  <si>
    <t xml:space="preserve"> 16.2 </t>
  </si>
  <si>
    <t xml:space="preserve"> 103311 </t>
  </si>
  <si>
    <t>INSTALAÇÃO DE BICICLETÁRIO MODELO U INVERTIDO, DIMENSÕES 110 CM X 78 CM EM TUBO CIRCULAR DE AÇO Ø 2'' COM PINTURA ELETROSTÁTICA, FIXADO COM CONCRETO, SOBRE SOLO. AF_11/2021</t>
  </si>
  <si>
    <t xml:space="preserve"> 16.3 </t>
  </si>
  <si>
    <t>Objeto: ETE</t>
  </si>
  <si>
    <t xml:space="preserve"> Item  </t>
  </si>
  <si>
    <t>Código</t>
  </si>
  <si>
    <t xml:space="preserve"> Descrição  </t>
  </si>
  <si>
    <t>Unid.</t>
  </si>
  <si>
    <t>Taxa</t>
  </si>
  <si>
    <t>Comp.</t>
  </si>
  <si>
    <t>Larg.</t>
  </si>
  <si>
    <t xml:space="preserve">Alt. </t>
  </si>
  <si>
    <t>Quant.</t>
  </si>
  <si>
    <t>Total</t>
  </si>
  <si>
    <t xml:space="preserve">2.1 </t>
  </si>
  <si>
    <t>2.1</t>
  </si>
  <si>
    <t xml:space="preserve">3.1 </t>
  </si>
  <si>
    <t>3.1</t>
  </si>
  <si>
    <t xml:space="preserve">3.2 </t>
  </si>
  <si>
    <t>3.2</t>
  </si>
  <si>
    <t>LIGACAO PROVISORIA DE AGUA -PARA MEDICAO DE AGUA - ENTRADA PRINCIPAL, EM PVC SOLDÁVEL DN 25 (¾") FORNECIMENTO E INSTALAÇÃO (INCLUSIVE HIDRÔMETRO)</t>
  </si>
  <si>
    <t>3.3</t>
  </si>
  <si>
    <t xml:space="preserve">	INSTALACAO/LIGACAO PROVISORIA ELETRICA BAIXA TENSAO P/CANTEIRO DE OBRA</t>
  </si>
  <si>
    <t>3.4</t>
  </si>
  <si>
    <t>3.5</t>
  </si>
  <si>
    <t>3.6</t>
  </si>
  <si>
    <t>3.7</t>
  </si>
  <si>
    <t xml:space="preserve">	EXECUÇÃO SANITARIO, COM 3 BACIAS, 4 CHUVEIROS, 1 LAVATORIO, 1 MICTORIO E VESTIÁRIO EM CANTEIRO DE OBRA EM CHAPA DE MADEIRA COMPENSADA, NÃO INCLUSO MOBILIÁRIO. ALT. 2,50 M, AF_02/2016.</t>
  </si>
  <si>
    <t>3.8</t>
  </si>
  <si>
    <t>M2</t>
  </si>
  <si>
    <t>3.9</t>
  </si>
  <si>
    <t xml:space="preserve">	EXECUÇÃO DE CENTRAL DE ARMADURA EM CANTEIRO DE OBRA, NÃO INCLUSO MOBILIÁRIO E EQUIPAMENTOS</t>
  </si>
  <si>
    <t>3.10</t>
  </si>
  <si>
    <t>EXECUÇÃO DE CENTRAL DE FÔRMAS, PRODUÇÃO DE ARGAMASSA OU CONCRETO EM CANTEIRO DE OBRA, NÃO INCLUSO MOBILIÁRIO E EQUIPAMENTOS.</t>
  </si>
  <si>
    <t>3.11</t>
  </si>
  <si>
    <t>MOBILIZAÇÃO - ETE</t>
  </si>
  <si>
    <t>3.12</t>
  </si>
  <si>
    <t>DESMOBILIZAÇÃO - ETE</t>
  </si>
  <si>
    <t>4.1</t>
  </si>
  <si>
    <t>LIMPEZA MECANIZADA DE CAMADA VEGETAL, VEGETAÇÃO E PEQUENAS ÁRVORES (DIÂMETRO DE TRONCO MENOR QUE 0,20 M), COM TRATOR DE ESTEIRAS.AF_05/2018</t>
  </si>
  <si>
    <t>4.2</t>
  </si>
  <si>
    <t>REGULARIZAÇÃO DE SUPERFÍCIES COM MOTONIVELADORA. AF_11/2019</t>
  </si>
  <si>
    <t>4.3</t>
  </si>
  <si>
    <t>4.4</t>
  </si>
  <si>
    <t>4.5</t>
  </si>
  <si>
    <t xml:space="preserve">EXECUÇÃO E COMPACTAÇÃO DE CORPO DE ATERRO  (95% DE ENERGIA DO PROCTOR NORMAL) COM SOLO PREDOMINANTEMENTE ARGILOSO, EM CAMADAS COM ESPESSURA DE 20 CM </t>
  </si>
  <si>
    <t>M³</t>
  </si>
  <si>
    <t>4.6</t>
  </si>
  <si>
    <t>ATERRO</t>
  </si>
  <si>
    <t>4.7</t>
  </si>
  <si>
    <t>5.1</t>
  </si>
  <si>
    <t>5.1.1</t>
  </si>
  <si>
    <t>LOCACAO CONVENCIONAL DE OBRA, UTILIZANDO GABARITO DE TÁBUAS CORRIDAS PONTALETADAS A CADA 2,00M -  2 UTILIZAÇÕES. AF_10/2018</t>
  </si>
  <si>
    <t>5.1.2</t>
  </si>
  <si>
    <t>SAPATA</t>
  </si>
  <si>
    <t>5.1.3</t>
  </si>
  <si>
    <t>VIGA BALDRAME</t>
  </si>
  <si>
    <t>5.1.4</t>
  </si>
  <si>
    <t>5.1.5</t>
  </si>
  <si>
    <t>VIGAS BALDRAME</t>
  </si>
  <si>
    <t>5.1.6</t>
  </si>
  <si>
    <t>5.1.7</t>
  </si>
  <si>
    <t>5.1.8</t>
  </si>
  <si>
    <t>5.1.9</t>
  </si>
  <si>
    <t>5.1.11</t>
  </si>
  <si>
    <t>5.1.10</t>
  </si>
  <si>
    <t>5.1.12</t>
  </si>
  <si>
    <t>5.1.13</t>
  </si>
  <si>
    <t>5.1.14</t>
  </si>
  <si>
    <t>5.1.15</t>
  </si>
  <si>
    <t>5.1.16</t>
  </si>
  <si>
    <t>5.1.17</t>
  </si>
  <si>
    <t>5.1.18</t>
  </si>
  <si>
    <t>ESCAVAÇÃO</t>
  </si>
  <si>
    <t>CONCRETAGEM</t>
  </si>
  <si>
    <t>5.1.19</t>
  </si>
  <si>
    <t>5.1.20</t>
  </si>
  <si>
    <t>CONCRETAGEM DE PILARES, VIGAS E LAJES (PRE MOLDADAS OU MACIÇA) FCK = 30 MPA, COM USO DE BOMBA EM EDIFICAÇÃO  - LANÇAMENTO, ADENSAMENTO E ACABAMENTO.</t>
  </si>
  <si>
    <t>PILARES</t>
  </si>
  <si>
    <t>5.1.21</t>
  </si>
  <si>
    <t xml:space="preserve">5.2 </t>
  </si>
  <si>
    <t>falta colocar a coberta</t>
  </si>
  <si>
    <t>5.2.1</t>
  </si>
  <si>
    <t>VIGAS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</si>
  <si>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</si>
  <si>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</si>
  <si>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</si>
  <si>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</si>
  <si>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</si>
  <si>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</si>
  <si>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</si>
  <si>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</si>
  <si>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</si>
  <si>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</si>
  <si>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</si>
  <si>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</si>
  <si>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</si>
  <si>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</si>
  <si>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LAJE PÉ DIREITO SIMPLES</t>
  </si>
  <si>
    <t>5.2.16</t>
  </si>
  <si>
    <t>PILAR</t>
  </si>
  <si>
    <t>VIGA</t>
  </si>
  <si>
    <t xml:space="preserve">5.3 </t>
  </si>
  <si>
    <t>5.3.1</t>
  </si>
  <si>
    <t>TÉRREO</t>
  </si>
  <si>
    <t>RECEPÇÃO SECRETARIA</t>
  </si>
  <si>
    <t>COORD. PEDAGÓGICA</t>
  </si>
  <si>
    <t>COORD. ESTÁGIO</t>
  </si>
  <si>
    <t>RECEPÇÃO</t>
  </si>
  <si>
    <t>WC PCD FEM</t>
  </si>
  <si>
    <t>WC PCD MAS</t>
  </si>
  <si>
    <t>COPA</t>
  </si>
  <si>
    <t>BWC FUNC. E WC DIR.</t>
  </si>
  <si>
    <t>DIRETORIA</t>
  </si>
  <si>
    <t>SALA PROFESSORES</t>
  </si>
  <si>
    <t>MULTIMIDIA PROF</t>
  </si>
  <si>
    <t>LABORATÓRIO LINGUAS</t>
  </si>
  <si>
    <t>LABORATÓRIO INFORMÁTICA</t>
  </si>
  <si>
    <t>ALMOXARIFADO INFORMÁTICA</t>
  </si>
  <si>
    <t>ESCADAS 1</t>
  </si>
  <si>
    <t>DEPÓSITO/DML 1</t>
  </si>
  <si>
    <t>ESCADAS 2</t>
  </si>
  <si>
    <t>DEPÓSITO</t>
  </si>
  <si>
    <t>DEPÓSITO/DML 2</t>
  </si>
  <si>
    <t>ALMOXARIFADO</t>
  </si>
  <si>
    <t>LABORATÓRIO QUÍMICA</t>
  </si>
  <si>
    <t>SALA TÉCNICA</t>
  </si>
  <si>
    <t>ALMOX. LABORATÓRIOS QUIM/BIO</t>
  </si>
  <si>
    <t>LABORATÓRIO BIOLOGIA</t>
  </si>
  <si>
    <t>LABORATÓRIO FÍSICA</t>
  </si>
  <si>
    <t>DEPARTAMENTO MAT.MULTIMÍDIA</t>
  </si>
  <si>
    <t>ALMOXARIFADO LABORATÓRIOS FÍS/MAT</t>
  </si>
  <si>
    <t>LABORATÓRIO MATEMÁTICA</t>
  </si>
  <si>
    <t>WC PCD FEM.</t>
  </si>
  <si>
    <t>WC PCD MASC.</t>
  </si>
  <si>
    <t>SANIT. FEM</t>
  </si>
  <si>
    <t>SANIT. MASC</t>
  </si>
  <si>
    <t>BIBLIOTECA</t>
  </si>
  <si>
    <t>AUDITÓRIO</t>
  </si>
  <si>
    <t>SALA TECNICA</t>
  </si>
  <si>
    <t>WC FEM, WC PCD, WC MASC</t>
  </si>
  <si>
    <t>1º PAVIMENTO</t>
  </si>
  <si>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</si>
  <si>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</si>
  <si>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</si>
  <si>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</si>
  <si>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</si>
  <si>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</si>
  <si>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</si>
  <si>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</si>
  <si>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</si>
  <si>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</si>
  <si>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SALA 11</t>
  </si>
  <si>
    <t>SALA 12</t>
  </si>
  <si>
    <t>SANIT. FEMININO</t>
  </si>
  <si>
    <t>SANIT. MASCULINO</t>
  </si>
  <si>
    <t>WC PCD MASC</t>
  </si>
  <si>
    <t xml:space="preserve">ESCADAS 2 </t>
  </si>
  <si>
    <t>PLATIBANDA</t>
  </si>
  <si>
    <t>5.3.2</t>
  </si>
  <si>
    <t>WC'S FEMININO ALUNOS - Cabine Normal</t>
  </si>
  <si>
    <t>WC'S FEM. AUDITORIO</t>
  </si>
  <si>
    <t>WC'S MASC. AUDITORIO</t>
  </si>
  <si>
    <t>WC'S MASCULINO ALUNOS - Cabine Normal</t>
  </si>
  <si>
    <t>1º ANDAR</t>
  </si>
  <si>
    <t>5.3.3</t>
  </si>
  <si>
    <t>PORTA 1</t>
  </si>
  <si>
    <t>PORTA 2</t>
  </si>
  <si>
    <t>PORTA 3</t>
  </si>
  <si>
    <t>PORTA 4</t>
  </si>
  <si>
    <t>PORTA 5</t>
  </si>
  <si>
    <t>PORTA 12</t>
  </si>
  <si>
    <t>JANELA 2</t>
  </si>
  <si>
    <t>JANELA 5</t>
  </si>
  <si>
    <t>JANELA 7</t>
  </si>
  <si>
    <t>5.3.4</t>
  </si>
  <si>
    <t>JANELA 8</t>
  </si>
  <si>
    <t>JANELA 9</t>
  </si>
  <si>
    <t>JANELA 10</t>
  </si>
  <si>
    <t>JANELA 12</t>
  </si>
  <si>
    <t>JANELA 13</t>
  </si>
  <si>
    <t>JANELA 14</t>
  </si>
  <si>
    <t>JANELA 15</t>
  </si>
  <si>
    <t>JANELA 16</t>
  </si>
  <si>
    <t>JANELA 18</t>
  </si>
  <si>
    <t>JANELA 19</t>
  </si>
  <si>
    <t>JANELA 20</t>
  </si>
  <si>
    <t>5.3.5</t>
  </si>
  <si>
    <t>5.3.6</t>
  </si>
  <si>
    <t xml:space="preserve">5.4 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</si>
  <si>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</si>
  <si>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</si>
  <si>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</si>
  <si>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</si>
  <si>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</si>
  <si>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</si>
  <si>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</si>
  <si>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</si>
  <si>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</si>
  <si>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</si>
  <si>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 xml:space="preserve">5.5 </t>
  </si>
  <si>
    <t>5.5.1</t>
  </si>
  <si>
    <t>LAJE COBERTA 01</t>
  </si>
  <si>
    <t>LAJE COBERTA 02</t>
  </si>
  <si>
    <t>BWC FUNC.</t>
  </si>
  <si>
    <t>WC DIR.</t>
  </si>
  <si>
    <t>WC FEM.</t>
  </si>
  <si>
    <t>WC MASC.</t>
  </si>
  <si>
    <t>WC AUDITÓRIO</t>
  </si>
  <si>
    <t>WC FEM. AUDITÓRIO</t>
  </si>
  <si>
    <t>WC PCD. AUDITÓRIO</t>
  </si>
  <si>
    <t>WC MASC. AUDITÓRIO</t>
  </si>
  <si>
    <t>1 ANDAR</t>
  </si>
  <si>
    <t>5.5.2</t>
  </si>
  <si>
    <t>IMPERMEABILIZAÇÃO DE SUPERFÍCIE COM MANTA ASFÁLTICA, UMA CAMADA, INCLUSIVE APLICAÇÃO DE PRIMER ASFÁLTICO</t>
  </si>
  <si>
    <t>LAJE COBERTA 01 - PAREDE</t>
  </si>
  <si>
    <t>LAJE COBERTA 02 - PAREDE</t>
  </si>
  <si>
    <t>5.5.3</t>
  </si>
  <si>
    <t>5.5.4</t>
  </si>
  <si>
    <t xml:space="preserve">5.6 </t>
  </si>
  <si>
    <t>5.6.1</t>
  </si>
  <si>
    <t>ALMOXARIFADO RECEP</t>
  </si>
  <si>
    <t>REPROGRAFIA</t>
  </si>
  <si>
    <t>RECEPÇÃO DIR.</t>
  </si>
  <si>
    <t>WC DIR E BWC FUNC.</t>
  </si>
  <si>
    <t>WC PDC MASC DIR</t>
  </si>
  <si>
    <t>WC PDC FEM DIR</t>
  </si>
  <si>
    <t>CIRCULAÇÃO DIR</t>
  </si>
  <si>
    <t>MULTIMÍDIA PROF</t>
  </si>
  <si>
    <t>LABORATÓRIO LÍNGUAS</t>
  </si>
  <si>
    <t>CIRCULAÇÃO EXT</t>
  </si>
  <si>
    <t>LABORATÓRIO QUIMICA</t>
  </si>
  <si>
    <t xml:space="preserve">SALA TÉCNICA </t>
  </si>
  <si>
    <t>ALMOX LAB QUI/BIO</t>
  </si>
  <si>
    <t>DEP. MAT. MULTIMÍDIA</t>
  </si>
  <si>
    <t>ALMOX. LAB FIS/MAT</t>
  </si>
  <si>
    <t>SANIT. MAS</t>
  </si>
  <si>
    <t>DEPÓSITO DML 1</t>
  </si>
  <si>
    <t>DEPÓSITO DML 2</t>
  </si>
  <si>
    <t>ACESSO SANIT</t>
  </si>
  <si>
    <t>WC AUDITORIO</t>
  </si>
  <si>
    <t>AUDITORIO</t>
  </si>
  <si>
    <t>HALL DE ENTRADA AUDITORIO</t>
  </si>
  <si>
    <t>WC FEM</t>
  </si>
  <si>
    <t>WC PCD</t>
  </si>
  <si>
    <t>5.6.2</t>
  </si>
  <si>
    <t>WC DIR</t>
  </si>
  <si>
    <t>5.6.3</t>
  </si>
  <si>
    <t>5.6.4</t>
  </si>
  <si>
    <t>SALA DE AULA 1</t>
  </si>
  <si>
    <t>SALA DE AULA 2</t>
  </si>
  <si>
    <t>SALA DE AULA 3</t>
  </si>
  <si>
    <t>SALA DE AULA 4</t>
  </si>
  <si>
    <t>SALA DE AULA 5</t>
  </si>
  <si>
    <t>SALA DE AULA 6</t>
  </si>
  <si>
    <t>SALA DE AULA 7</t>
  </si>
  <si>
    <t>SALA DE AULA 8</t>
  </si>
  <si>
    <t>SALA DE AULA 9</t>
  </si>
  <si>
    <t>SALA DE AULA 10</t>
  </si>
  <si>
    <t>SALA DE AULA 11</t>
  </si>
  <si>
    <t>SALA DE AULA 12</t>
  </si>
  <si>
    <t>DEPOSITO</t>
  </si>
  <si>
    <t>5.6.5</t>
  </si>
  <si>
    <t>WC PCD AUDITORIO</t>
  </si>
  <si>
    <t>WC MAS</t>
  </si>
  <si>
    <t>SANIT FEM</t>
  </si>
  <si>
    <t>SANIT MAS</t>
  </si>
  <si>
    <t>5.6.6</t>
  </si>
  <si>
    <t>1° PAVIMENTO</t>
  </si>
  <si>
    <t>5.6.7</t>
  </si>
  <si>
    <t>5.6.8</t>
  </si>
  <si>
    <t>REVESTIMENTO CERÂMICO PARA PISO COM PLACAS TIPO ESMALTADA EXTRA DE DIMENSÕES 45X45 CM APLICADA EM AMBIENTES DE ÁREA MAIOR QUE 10 M2. AF_02/2023_PE</t>
  </si>
  <si>
    <t>WC MASC</t>
  </si>
  <si>
    <t>DEPOSITO/DML</t>
  </si>
  <si>
    <t>DEPOSITO/DML 2</t>
  </si>
  <si>
    <t>5.6.9</t>
  </si>
  <si>
    <t>5.6.10</t>
  </si>
  <si>
    <t>ESCADAS</t>
  </si>
  <si>
    <t>HALL PRINCIPAL</t>
  </si>
  <si>
    <t xml:space="preserve">RAMPA </t>
  </si>
  <si>
    <t>RAMPA ACESSO LATERAL AUDITORIO</t>
  </si>
  <si>
    <t>ESCADA ACESSO AUDITORIO</t>
  </si>
  <si>
    <t>RAMPA ENTRADA AUDITORIO</t>
  </si>
  <si>
    <t>RAMPA INTERNA AUDITORIO</t>
  </si>
  <si>
    <t>ESCADA ACESSO PALCO</t>
  </si>
  <si>
    <t>RAMPA ACESSO PALCO</t>
  </si>
  <si>
    <t>ESCADA INTERNA BIBLIOTECA</t>
  </si>
  <si>
    <t>RAMPA ACESSO AO PATIO</t>
  </si>
  <si>
    <t>BEBEDOURO</t>
  </si>
  <si>
    <t>5.6.11</t>
  </si>
  <si>
    <t>5.6.12</t>
  </si>
  <si>
    <t>PÁTIO</t>
  </si>
  <si>
    <t>5.6.13</t>
  </si>
  <si>
    <t>PISO PODOTÁTIL DE ALERTA OU DIRECIONAL, DE CONCRETO, ASSENTADO SOBRE ARGAMASSA</t>
  </si>
  <si>
    <t>ACESSO LATERAL</t>
  </si>
  <si>
    <t>RAMPA POSTERIOR</t>
  </si>
  <si>
    <t>ENTRADA PRINCIPAL</t>
  </si>
  <si>
    <t>5.7.1</t>
  </si>
  <si>
    <t>CHAPISCO APLICADO EM ALVENARIAS E ESTRUTURAS DE CONCRETO INTERNAS, COM COLHER DE PEDREIRO.  ARGAMASSA TRAÇO 1:3 COM PREPARO EM BETONEIRA 400L. AF_10/2022</t>
  </si>
  <si>
    <t>ALMOXARIFADO SEC</t>
  </si>
  <si>
    <t>CIRCULAÇÃO 1 AO LADO DA DIRETORIA</t>
  </si>
  <si>
    <t>WC DIR E BWC FUNC</t>
  </si>
  <si>
    <t>PLATAFORMA</t>
  </si>
  <si>
    <t>5.7.2</t>
  </si>
  <si>
    <t>CHAPISCO APLICADO EM ALVENARIA (COM PRESENÇA DE VÃOS) E ESTRUTURAS DE CONCRETO DE FACHADA, COM COLHER DE PEDREIRO.  ARGAMASSA TRAÇO 1:3 COM PREPARO EM BETONEIRA 400L. AF_10/2022</t>
  </si>
  <si>
    <t>FACHADA</t>
  </si>
  <si>
    <t>FACHADA AUDITORIO</t>
  </si>
  <si>
    <t>PARTE INTERNA ABERTA</t>
  </si>
  <si>
    <t>PAREDE INTERNA AUDITORIO</t>
  </si>
  <si>
    <t>ESCADA 1</t>
  </si>
  <si>
    <t>ESCADA 2</t>
  </si>
  <si>
    <t>PLATIBANDA - PAREDE</t>
  </si>
  <si>
    <t>RAMPA</t>
  </si>
  <si>
    <t>MURETA PATIO</t>
  </si>
  <si>
    <t>5.7.3</t>
  </si>
  <si>
    <t>5.7.4</t>
  </si>
  <si>
    <t>5.7.5</t>
  </si>
  <si>
    <t>WC DIR / BWC FUNC.</t>
  </si>
  <si>
    <t>DEP. MAT. MULTIMIDIA</t>
  </si>
  <si>
    <t>5.7.6</t>
  </si>
  <si>
    <t>CIRCULAÇÃO EXTERNA CAMBURI WHITE</t>
  </si>
  <si>
    <t>CIRCULAÇÃO EXTERNA AZUL ROYAL</t>
  </si>
  <si>
    <t>LABORATORIO LINGUAS CAMBURI WHITE</t>
  </si>
  <si>
    <t>LABORATORIO LINGUAS AZUL ROYAL</t>
  </si>
  <si>
    <t>LABORATORIO INFORMATICA CAMBURI WHITE</t>
  </si>
  <si>
    <t>LABORATORIO INFORMATICA AZUL ROYAL</t>
  </si>
  <si>
    <t>LABORATÓRIO QUÍMICA CAMBURI WHITE</t>
  </si>
  <si>
    <t>LABORATÓRIO QUÍMICA AZUL ROYAL</t>
  </si>
  <si>
    <t>LABORATÓRIO BIOLOGIA CAMBURI WHITE</t>
  </si>
  <si>
    <t>LABORATÓRIO BIOLOGIA AZUL ROYAL</t>
  </si>
  <si>
    <t>LABORATÓRIO FÍSICA CAMBURI WHITE</t>
  </si>
  <si>
    <t>LABORATÓRIO FÍSICA AZUL ROYAL</t>
  </si>
  <si>
    <t>LABORATÓRIO MATEMÁTICA CAMBURI WHITE</t>
  </si>
  <si>
    <t>LABORATÓRIO MATEMÁTICA AZUL ROYAL</t>
  </si>
  <si>
    <t>SALA 1 CAMBURI WHITE</t>
  </si>
  <si>
    <t>SALA 1 AZUL ROYAL</t>
  </si>
  <si>
    <t>SALA 2 CAMBURI WHITE</t>
  </si>
  <si>
    <t>SALA 2 AZUL ROYAL</t>
  </si>
  <si>
    <t>SALA 3 CAMBURI WHITE</t>
  </si>
  <si>
    <t>SALA 3 AZUL ROYAL</t>
  </si>
  <si>
    <t>SALA 4 CAMBURI WHITE</t>
  </si>
  <si>
    <t>SALA 4 AZUL ROYAL</t>
  </si>
  <si>
    <t>SALA 5 CAMBURI WHITE</t>
  </si>
  <si>
    <t>SALA 5 AZUL ROYAL</t>
  </si>
  <si>
    <t>SALA 6 CAMBURI WHITE</t>
  </si>
  <si>
    <t>SALA 6 AZUL ROYAL</t>
  </si>
  <si>
    <t>SALA 7 CAMBURI WHITE</t>
  </si>
  <si>
    <t>SALA 7 AZUL ROYAL</t>
  </si>
  <si>
    <t>SALA 8 CAMBURI WHITE</t>
  </si>
  <si>
    <t>SALA 8 AZUL ROYAL</t>
  </si>
  <si>
    <t>SALA 9 CAMBURI WHITE</t>
  </si>
  <si>
    <t>SALA 9 AZUL ROYAL</t>
  </si>
  <si>
    <t>SALA 10 CAMBURI WHITE</t>
  </si>
  <si>
    <t>SALA 10 AZUL ROYAL</t>
  </si>
  <si>
    <t>SALA 11 CAMBURI WHITE</t>
  </si>
  <si>
    <t>SALA 11 AZUL ROYAL</t>
  </si>
  <si>
    <t>SALA 12 CAMBURI WHITE</t>
  </si>
  <si>
    <t>SALA 12 AZUL ROYAL</t>
  </si>
  <si>
    <t>5.7.7</t>
  </si>
  <si>
    <t>5.7.8</t>
  </si>
  <si>
    <t>5.8</t>
  </si>
  <si>
    <t>5.8.1</t>
  </si>
  <si>
    <t>FORRO EM DRYWALL, PARA AMBIENTES COMERCIAIS, INCLUSIVE ESTRUTURA BIRECIONAL DE FIXAÇÃO. AF_08/2023_PS</t>
  </si>
  <si>
    <t>WC. FEM.</t>
  </si>
  <si>
    <t>WC. FEM. AUDITÓRIO</t>
  </si>
  <si>
    <t>WC. MASC. AUDITÓRIO</t>
  </si>
  <si>
    <t xml:space="preserve">DEPÓSITO </t>
  </si>
  <si>
    <t xml:space="preserve">5.9 </t>
  </si>
  <si>
    <t>5.9.1</t>
  </si>
  <si>
    <t>PORTA 02</t>
  </si>
  <si>
    <t>5.9.2</t>
  </si>
  <si>
    <t>TÉRREO WC's</t>
  </si>
  <si>
    <t>1º PAVIMENTO WC's</t>
  </si>
  <si>
    <t>5.9.3</t>
  </si>
  <si>
    <t>5.9.4</t>
  </si>
  <si>
    <t>5.9.5</t>
  </si>
  <si>
    <t>JANELA DE ALUMÍNIO DE CORRER COM 4 FOLHAS PARA VIDROS, COM VIDROS, BATENTE, ACABAMENTO COM ACETATO OU BRILHANTE E FERRAGENS. EXCLUSIVE ALIZAR E CONTRAMARCO. FORNECIMENTO E INSTALAÇÃO. AF_12/2019</t>
  </si>
  <si>
    <t>5.9.6</t>
  </si>
  <si>
    <t>JANELA DE AÇO TIPO BASCULANTE PARA VIDROS, COM BATENTE, FERRAGENS E PINTURA ANTICORROSIVA, EXCLUSIVE VIDROS, ACABAMENTO, ALIZAR E CONTRAMARCO, FIXAÇÃO COM ARGAMASSA. FORNECIMENTO E INSTALAÇÃO. AF_11/2024</t>
  </si>
  <si>
    <t>JANELA 02</t>
  </si>
  <si>
    <t>JANELA 05</t>
  </si>
  <si>
    <t>JANELA 07</t>
  </si>
  <si>
    <t>JANELA 08</t>
  </si>
  <si>
    <t>JANELA 09</t>
  </si>
  <si>
    <t>5.9.7</t>
  </si>
  <si>
    <t>5.9.8</t>
  </si>
  <si>
    <t>5.9.9</t>
  </si>
  <si>
    <t>5.9.10</t>
  </si>
  <si>
    <t>5.9.11</t>
  </si>
  <si>
    <t>CORRIMÃO SIMPLES, DIÂMETRO EXTERNO = 1 1/2", EM ALUMÍNIO. AF_04/2019_PS</t>
  </si>
  <si>
    <t>ACESSO AUDITORIO</t>
  </si>
  <si>
    <t>ESCADA BIBLIOTECA</t>
  </si>
  <si>
    <t>5.9.12</t>
  </si>
  <si>
    <t>GUARDA-CORPO DE AÇO GALVANIZADO DE 1,10M DE ALTURA, MONTANTES TUBULARES DE 1.1/2  ESPAÇADOS DE 1,20M, TRAVESSA SUPERIOR DE 2 , GRADIL FORMADO POR BARRAS CHATAS EM FERRO DE 32X4,8MM, FIXADO COM CHUMBADOR MECÂNICO. AF_04/2019_PS</t>
  </si>
  <si>
    <t xml:space="preserve">5.10 </t>
  </si>
  <si>
    <t>5.10.1</t>
  </si>
  <si>
    <t>ÁREA INTERNA</t>
  </si>
  <si>
    <t>ÁREA EXTERNA</t>
  </si>
  <si>
    <t>CERÂMICA INTERNA</t>
  </si>
  <si>
    <t>CERÂMICA EXTERNA</t>
  </si>
  <si>
    <t>5.10.2</t>
  </si>
  <si>
    <t>5.10.3</t>
  </si>
  <si>
    <t>CERÂMICA</t>
  </si>
  <si>
    <t>5.10.4</t>
  </si>
  <si>
    <t xml:space="preserve"> 96131 </t>
  </si>
  <si>
    <t>APLICAÇÃO MANUAL DE MASSA ACRÍLICA EM PANOS DE FACHADA COM PRESENÇA DE VÃOS, DE EDIFÍCIOS DE MÚLTIPLOS PAVIMENTOS, DUAS DEMÃOS. AF_05/2017</t>
  </si>
  <si>
    <t>5.10.5</t>
  </si>
  <si>
    <t>TEXTURA ACRÍLICA, APLICAÇÃO MANUAL EM PAREDE, UMA DEMÃO. AF_04/2023</t>
  </si>
  <si>
    <t>5.10.6</t>
  </si>
  <si>
    <t>FORRO GESSO</t>
  </si>
  <si>
    <t>FORRO DRYWALL</t>
  </si>
  <si>
    <t>5.10.7</t>
  </si>
  <si>
    <t>5.10.8</t>
  </si>
  <si>
    <t>5.10.9</t>
  </si>
  <si>
    <t xml:space="preserve">5.11 </t>
  </si>
  <si>
    <t>5.11.1</t>
  </si>
  <si>
    <t>DISJUNTOR TERMOMAGNÉTICO TRIPOLAR , CORRENTE NOMINAL DE 125A - FORNECIMENTO E INSTALAÇÃO. AF_10/2020</t>
  </si>
  <si>
    <t>5.11.2</t>
  </si>
  <si>
    <t>5.11.3</t>
  </si>
  <si>
    <t>5.11.4</t>
  </si>
  <si>
    <t>5.11.5</t>
  </si>
  <si>
    <t>5.11.6</t>
  </si>
  <si>
    <t>5.11.7</t>
  </si>
  <si>
    <t>5.11.8</t>
  </si>
  <si>
    <t>5.11.9</t>
  </si>
  <si>
    <t>5.11.10</t>
  </si>
  <si>
    <t>5.11.11</t>
  </si>
  <si>
    <t>5.11.12</t>
  </si>
  <si>
    <t>5.11.13</t>
  </si>
  <si>
    <t>5.11.14</t>
  </si>
  <si>
    <t>5.11.15</t>
  </si>
  <si>
    <t>5.11.16</t>
  </si>
  <si>
    <t>5.11.17</t>
  </si>
  <si>
    <t>5.11.18</t>
  </si>
  <si>
    <t>5.11.19</t>
  </si>
  <si>
    <t>CABO DE COBRE FLEXÍVEL ISOLADO, 6 MM², ANTI-CHAMA 0,6/1,0 KV, PARA CIRCUITOS TERMINAIS - FORNECIMENTO E INSTALAÇÃO. AF_03/2023</t>
  </si>
  <si>
    <t>5.11.20</t>
  </si>
  <si>
    <t>CABO DE COBRE FLEXÍVEL ISOLADO, 10 MM², ANTI-CHAMA 0,6/1,0 KV, PARA CIRCUITOS TERMINAIS - FORNECIMENTO E INSTALAÇÃO. AF_03/2023</t>
  </si>
  <si>
    <t>5.11.21</t>
  </si>
  <si>
    <t>5.11.22</t>
  </si>
  <si>
    <t>5.11.23</t>
  </si>
  <si>
    <t>5.11.24</t>
  </si>
  <si>
    <t>5.11.25</t>
  </si>
  <si>
    <t>5.11.26</t>
  </si>
  <si>
    <t>5.11.27</t>
  </si>
  <si>
    <t>5.11.28</t>
  </si>
  <si>
    <t>5.11.29</t>
  </si>
  <si>
    <t>5.11.30</t>
  </si>
  <si>
    <t>5.11.31</t>
  </si>
  <si>
    <t>5.11.32</t>
  </si>
  <si>
    <t>QUADRO DE DISTRIBUIÇÃO DE ENERGIA EM CHAPA DE AÇO GALVANIZADO, DE EMBUTIR, COM BARRAMENTO TRIFÁSICO, PARA 40 DISJUNTORES DIN 100A - FORNECIMENTO E INSTALAÇÃO. AF_10/2020</t>
  </si>
  <si>
    <t>5.11.33</t>
  </si>
  <si>
    <t>SENSOR DE PRESENÇA COM FOTOCÉLULA, FIXAÇÃO EM TETO - FORNECIMENTO E INSTALAÇÃO. AF_02/2020</t>
  </si>
  <si>
    <t>5.11.34</t>
  </si>
  <si>
    <t xml:space="preserve"> 04.03.606 </t>
  </si>
  <si>
    <t>TOMADA DE TETO 2P+T 10A (USO EXCLUSIVO P/ ILUMINAÇÃO DE EMERGÊNCIA)</t>
  </si>
  <si>
    <t>5.11.35</t>
  </si>
  <si>
    <t xml:space="preserve"> 04.03.607 </t>
  </si>
  <si>
    <t>TOMADA DE PISO 2 MÓDULOS 2P+T 10A</t>
  </si>
  <si>
    <t>5.11.36</t>
  </si>
  <si>
    <t xml:space="preserve"> 04.03.568 </t>
  </si>
  <si>
    <t>LUMINÁRIA ARANDELA P/ LÂMPADA LED 18W</t>
  </si>
  <si>
    <t>5.11.37</t>
  </si>
  <si>
    <t xml:space="preserve"> 04.03.488 </t>
  </si>
  <si>
    <t>CAIXA DE PASSAGEM - AÇO PINTADA (REF LUKBOX) - 300X300X120 MM</t>
  </si>
  <si>
    <t>5.11.38</t>
  </si>
  <si>
    <t xml:space="preserve"> 04.03.514 </t>
  </si>
  <si>
    <t>CONDULETE GALVANIZADO TIPO T P/ ELETRODUTO 2"</t>
  </si>
  <si>
    <t>5.11.39</t>
  </si>
  <si>
    <t xml:space="preserve"> 04.03.513 </t>
  </si>
  <si>
    <t>CONDULETE GALVANIZADO TIPO L P/ ELETRODUTO 2"</t>
  </si>
  <si>
    <t>5.11.40</t>
  </si>
  <si>
    <t xml:space="preserve"> 04.03.534 </t>
  </si>
  <si>
    <t>DISJUNTOR CAIXA MOLDADA TRIPOLAR 160A</t>
  </si>
  <si>
    <t>5.11.41</t>
  </si>
  <si>
    <t xml:space="preserve"> 04.03.537 </t>
  </si>
  <si>
    <t>DISJUNTOR DR 40A, 30MA</t>
  </si>
  <si>
    <t>5.11.42</t>
  </si>
  <si>
    <t xml:space="preserve"> 04.03.538 </t>
  </si>
  <si>
    <t>DISJUNTOR DR 63A, 30MA</t>
  </si>
  <si>
    <t>5.11.43</t>
  </si>
  <si>
    <t xml:space="preserve"> 04.03.543 </t>
  </si>
  <si>
    <t>DISPOSITIVO DE PROTEÇÃO CONTRA SURTO TRIPOLAR - CLASSE I/II - 275V - IIMP=12,5KA IMAX=60KA; IN=30KA</t>
  </si>
  <si>
    <t>5.11.44</t>
  </si>
  <si>
    <t xml:space="preserve"> 04.03.569 </t>
  </si>
  <si>
    <t>LUMINÁRIA CIRCULAR (OU QUADRADA) TIPO PLAFON LED 18W, DE SOBREPOR OU EMBUTIR</t>
  </si>
  <si>
    <t>5.11.45</t>
  </si>
  <si>
    <t xml:space="preserve"> 04.03.572 </t>
  </si>
  <si>
    <t>LUMINÁRIA P/ 2 LÂMPADA TUBOLED 20W, DE SOBREPOR OU EMBUTIR</t>
  </si>
  <si>
    <t xml:space="preserve">5.12.1 </t>
  </si>
  <si>
    <t>5.12.1.1</t>
  </si>
  <si>
    <t>5.12.1.2</t>
  </si>
  <si>
    <t>TUBO, PVC, SOLDÁVEL, DN 32MM, INSTALADO EM RAMAL OU SUB-RAMAL DE ÁGUA - FORNECIMENTO E INSTALAÇÃO. AF_06/2022</t>
  </si>
  <si>
    <t>5.12.1.3</t>
  </si>
  <si>
    <t>TUBO, PVC, SOLDÁVEL, DN 25MM, INSTALADO EM RAMAL OU SUB-RAMAL DE ÁGUA - FORNECIMENTO E INSTALAÇÃO. AF_06/2022</t>
  </si>
  <si>
    <t>5.12.1.4</t>
  </si>
  <si>
    <t>5.12.1.5</t>
  </si>
  <si>
    <t>5.12.1.6</t>
  </si>
  <si>
    <t>JOELHO 90 GRAUS COM BUCHA DE LATÃO, PVC, SOLDÁVEL, DN 25MM, X 1/2  INSTALADO EM RAMAL OU SUB-RAMAL DE ÁGUA - FORNECIMENTO E INSTALAÇÃO. AF_06/2022</t>
  </si>
  <si>
    <t>5.12.1.7</t>
  </si>
  <si>
    <t>JOELHO 90 GRAUS COM BUCHA DE LATÃO, PVC, SOLDÁVEL, DN 25MM, X 3/4  INSTALADO EM RAMAL OU SUB-RAMAL DE ÁGUA - FORNECIMENTO E INSTALAÇÃO. AF_06/2022</t>
  </si>
  <si>
    <t>5.12.1.8</t>
  </si>
  <si>
    <t>5.12.1.9</t>
  </si>
  <si>
    <t>5.12.1.10</t>
  </si>
  <si>
    <t>TÊ COM BUCHA DE LATÃO NA BOLSA CENTRAL, PVC, SOLDÁVEL, DN 25MM X 1/2 , INSTALADO EM RAMAL OU SUB-RAMAL DE ÁGUA - FORNECIMENTO E INSTALAÇÃO. AF_06/2022</t>
  </si>
  <si>
    <t>5.12.1.11</t>
  </si>
  <si>
    <t>TÊ COM BUCHA DE LATÃO NA BOLSA CENTRAL, PVC, SOLDÁVEL, DN 25MM X 3/4 , INSTALADO EM RAMAL OU SUB-RAMAL DE ÁGUA - FORNECIMENTO E INSTALAÇÃO. AF_06/2022</t>
  </si>
  <si>
    <t>5.12.1.12</t>
  </si>
  <si>
    <t>5.12.1.13</t>
  </si>
  <si>
    <t>5.12.1.14</t>
  </si>
  <si>
    <t>5.12.1.15</t>
  </si>
  <si>
    <t>5.12.1.16</t>
  </si>
  <si>
    <t>5.12.2.1</t>
  </si>
  <si>
    <t>5.12.2.2</t>
  </si>
  <si>
    <t>5.12.2.3</t>
  </si>
  <si>
    <t>5.12.2.4</t>
  </si>
  <si>
    <t>5.12.2.5</t>
  </si>
  <si>
    <t>5.12.2.6</t>
  </si>
  <si>
    <t>5.12.2.7</t>
  </si>
  <si>
    <t>5.12.2.8</t>
  </si>
  <si>
    <t>5.12.2.9</t>
  </si>
  <si>
    <t>5.12.2.10</t>
  </si>
  <si>
    <t>5.12.2.11</t>
  </si>
  <si>
    <t>5.12.2.12</t>
  </si>
  <si>
    <t>5.12.2.13</t>
  </si>
  <si>
    <t>5.12.2.14</t>
  </si>
  <si>
    <t>5.12.2.15</t>
  </si>
  <si>
    <t>5.12.2.16</t>
  </si>
  <si>
    <t>5.12.2.17</t>
  </si>
  <si>
    <t>5.12.2.18</t>
  </si>
  <si>
    <t>5.12.2.19</t>
  </si>
  <si>
    <t>5.12.2.20</t>
  </si>
  <si>
    <t>5.12.2.21</t>
  </si>
  <si>
    <t>5.12.2.22</t>
  </si>
  <si>
    <t>5.12.2.23</t>
  </si>
  <si>
    <t>5.12.2.24</t>
  </si>
  <si>
    <t>5.12.2.25</t>
  </si>
  <si>
    <t>5.12.2.26</t>
  </si>
  <si>
    <t>CAIXA SIFONADA, PVC, DN 150 X 185 X 75 MM, JUNTA ELÁSTICA, FORNECIDA E INSTALADA EM RAMAL DE DESCARGA OU EM RAMAL DE ESGOTO SANITÁRIO. AF_08/2022</t>
  </si>
  <si>
    <t>5.12.2.27</t>
  </si>
  <si>
    <t xml:space="preserve">5.12.3 </t>
  </si>
  <si>
    <t>FEITO COM PENDENCIAS</t>
  </si>
  <si>
    <t>5.12.3.1</t>
  </si>
  <si>
    <t>5.12.3.2</t>
  </si>
  <si>
    <t>VASO SANITARIO SIFONADO CONVENCIONAL PARA PCD SEM FURO FRONTAL COM  LOUÇA BRANCA SEM ASSENTO -  FORNECIMENTO E INSTALAÇÃO. AF_01/2020</t>
  </si>
  <si>
    <t>5.12.3.3</t>
  </si>
  <si>
    <t>5.12.3.4</t>
  </si>
  <si>
    <t>5.12.3.5</t>
  </si>
  <si>
    <t>LAVATORIO DE CANTO DE LOUCA BRANCA, SUSPENSO (SEM COLUNA), DIMENSOES *40 X 30* CM (L X C), INCLUSO VÁLVULA EM METAL CROMADO, SIFÃO FLEXÍVEL EM PVC E ENGATE FLEXÍVEL 30CM EM PLÁSTICO - FORNECIMENTO E INSTALAÇÃO.</t>
  </si>
  <si>
    <t>5.12.3.6</t>
  </si>
  <si>
    <t>5.12.3.7</t>
  </si>
  <si>
    <t>5.12.3.8</t>
  </si>
  <si>
    <t>5.12.3.9</t>
  </si>
  <si>
    <t>BARRA DE APOIO RETA, EM ALUMINIO, COMPRIMENTO 70 CM,  FIXADA NA PAREDE - FORNECIMENTO E INSTALAÇÃO. AF_01/2020</t>
  </si>
  <si>
    <t>5.12.3.10</t>
  </si>
  <si>
    <t>5.12.3.11</t>
  </si>
  <si>
    <t>5.12.3.12</t>
  </si>
  <si>
    <t>BARRA DE APOIO RETA, EM ALUMINIO, COMPRIMENTO 80 CM,  FIXADA NA PAREDE - FORNECIMENTO E INSTALAÇÃO. AF_01/2020</t>
  </si>
  <si>
    <t>5.12.3.13</t>
  </si>
  <si>
    <t>5.12.3.14</t>
  </si>
  <si>
    <t>5.12.3.15</t>
  </si>
  <si>
    <t>SABONETEIRA SISTEMA SPRAY - LALEKLA CÓD.: 30170882 OU EQUIVALENTE TÉCNICO</t>
  </si>
  <si>
    <t>5.12.3.16</t>
  </si>
  <si>
    <t>5.12.3.17</t>
  </si>
  <si>
    <t>5.12.3.18</t>
  </si>
  <si>
    <t>5.12.3.19</t>
  </si>
  <si>
    <t>5.12.3.20</t>
  </si>
  <si>
    <t xml:space="preserve"> ESPELHO EM CRISTAL INCOLOR 4mm APLICADO PAREDES</t>
  </si>
  <si>
    <t>5.12.3.21</t>
  </si>
  <si>
    <t>5.12.3.22</t>
  </si>
  <si>
    <t>DISPENSER PARA TOALHA INTERFOLHADA LALEKLA - LINHA EVOLUTION CÓD.30180225. OU EQUIVALENTE TÉCNICO</t>
  </si>
  <si>
    <t>5.12.3.23</t>
  </si>
  <si>
    <t>BARRA DE APOIO DE AÇO INOX 40 CM RETA POLIDA</t>
  </si>
  <si>
    <t>5.12.3.24</t>
  </si>
  <si>
    <t>5.12.3.25</t>
  </si>
  <si>
    <t>5.12.3.26</t>
  </si>
  <si>
    <t>5.12.3.27</t>
  </si>
  <si>
    <t>5.12.3.28</t>
  </si>
  <si>
    <t>5.12.3.29</t>
  </si>
  <si>
    <t>5.12.4.1</t>
  </si>
  <si>
    <t>5.12.4.2</t>
  </si>
  <si>
    <t>5.12.4.3</t>
  </si>
  <si>
    <t>5.12.4.4</t>
  </si>
  <si>
    <t>5.12.4.5</t>
  </si>
  <si>
    <t>5.12.4.6</t>
  </si>
  <si>
    <t>5.12.4.7</t>
  </si>
  <si>
    <t>5.12.4.8</t>
  </si>
  <si>
    <t>5.12.4.9</t>
  </si>
  <si>
    <t>5.12.4.10</t>
  </si>
  <si>
    <t xml:space="preserve"> 04.03.610 </t>
  </si>
  <si>
    <t>5.12.4.11</t>
  </si>
  <si>
    <t>CAIXA DE INSPEÇÃO EM ALVENARIA DE TIJOLO MACIÇO 60X60X60CM E TAMPA DE CONCRETO</t>
  </si>
  <si>
    <t>5.12.4.12</t>
  </si>
  <si>
    <t>5.12.4.13</t>
  </si>
  <si>
    <t>5.13.1</t>
  </si>
  <si>
    <t>5.13.2</t>
  </si>
  <si>
    <t>5.13.3</t>
  </si>
  <si>
    <t>5.13.4</t>
  </si>
  <si>
    <t>5.13.5</t>
  </si>
  <si>
    <t>5.13.6</t>
  </si>
  <si>
    <t>5.13.7</t>
  </si>
  <si>
    <t xml:space="preserve">5.14 </t>
  </si>
  <si>
    <t>CABEAMENTO ESTRUTURADO/CFTV/ SONORIZAÇÃO</t>
  </si>
  <si>
    <t>5.14.1</t>
  </si>
  <si>
    <t xml:space="preserve"> 91864 </t>
  </si>
  <si>
    <t>ELETRODUTO RÍGIDO ROSCÁVEL, PVC, DN 32 MM (1"), PARA CIRCUITOS TERMINAIS, INSTALADO EM FORRO - FORNECIMENTO E INSTALAÇÃO. AF_03/2023</t>
  </si>
  <si>
    <t>5.14.2</t>
  </si>
  <si>
    <t xml:space="preserve"> 98297 </t>
  </si>
  <si>
    <t>CABO ELETRÔNICO CATEGORIA 6, INSTALADO EM EDIFICAÇÃO INSTITUCIONAL - FORNECIMENTO E INSTALAÇÃO. AF_11/2019</t>
  </si>
  <si>
    <t>5.14.3</t>
  </si>
  <si>
    <t>5.14.4</t>
  </si>
  <si>
    <t>5.14.5</t>
  </si>
  <si>
    <t xml:space="preserve"> 04.03.391 </t>
  </si>
  <si>
    <t>FORNECIMENTO E INSTALAÇÃO DE ELETROCALHA METÁLICA PERFURADA 50 x 50 x 3000MM</t>
  </si>
  <si>
    <t>5.14.6</t>
  </si>
  <si>
    <t xml:space="preserve"> 04.03.286 </t>
  </si>
  <si>
    <t>RACK FECHADO 44 U'S</t>
  </si>
  <si>
    <t>5.14.7</t>
  </si>
  <si>
    <t xml:space="preserve"> 04.03.350 </t>
  </si>
  <si>
    <t>SWITCHER AUTO-GERENCIÁVEL P/ COMUNICACÃO DE DADOS COM 24 PORTAS EM CONECTORES RJ 45, 10/100 KBPS E DUAS PORTAS 10/100/1000 KBPS - PADRÃO RACK 19"</t>
  </si>
  <si>
    <t>5.14.8</t>
  </si>
  <si>
    <t xml:space="preserve">UN </t>
  </si>
  <si>
    <t>5.14.9</t>
  </si>
  <si>
    <t>PATCH PANEL 48 PORTAS, CATEGORIA 6 - FORNECIMENTO E INSTALAÇÃO. AF_11/2019</t>
  </si>
  <si>
    <t>5.14.10</t>
  </si>
  <si>
    <t>CAIXA RETANGULAR 4” X 2” BAIXA (0,30 M DO PISO), PVC, INSTALADA EM PAREDE - FORNECIMENTO E INSTALAÇÃO. AF_03/2023</t>
  </si>
  <si>
    <t>5.14.11</t>
  </si>
  <si>
    <t>CAIXA RETANGULAR 4" X 4" BAIXA (0,30 M DO PISO), PVC, INSTALADA EM PAREDE - FORNECIMENTO E INSTALAÇÃO. AF_03/2023</t>
  </si>
  <si>
    <t>5.14.12</t>
  </si>
  <si>
    <t>5.14.13</t>
  </si>
  <si>
    <t xml:space="preserve"> 04.03.612 </t>
  </si>
  <si>
    <t>T HORIZONTAL 90° - 100X50MM CHAPA 18</t>
  </si>
  <si>
    <t>5.14.14</t>
  </si>
  <si>
    <t xml:space="preserve"> 04.03.613 </t>
  </si>
  <si>
    <t>TALA PLANA PERFURADA ( EMENEDA ELETROCALHA) - 50 MM</t>
  </si>
  <si>
    <t>5.14.15</t>
  </si>
  <si>
    <t xml:space="preserve"> 04.03.614 </t>
  </si>
  <si>
    <t>SWITCH (10/100BASE TX - 10/100/1000BASE FX)MBPS - 24 PORTAS RJ45 + 2 PORTAS SC</t>
  </si>
  <si>
    <t>5.14.16</t>
  </si>
  <si>
    <t xml:space="preserve"> 04.03.468 </t>
  </si>
  <si>
    <t>BLOCO CONEXÃO - 110 IDC - 100 PARES</t>
  </si>
  <si>
    <t>5.14.17</t>
  </si>
  <si>
    <t xml:space="preserve"> 04.03.516 </t>
  </si>
  <si>
    <t>CONECTOR - RJ45 (CM8V) CAT 6, PARA PATCH PANEL (KEYSTONE)</t>
  </si>
  <si>
    <t>5.14.18</t>
  </si>
  <si>
    <t xml:space="preserve"> 04.03.604 </t>
  </si>
  <si>
    <t>SWITCH (10/100)BASETX - 48 PORTAS</t>
  </si>
  <si>
    <t>5.14.19</t>
  </si>
  <si>
    <t xml:space="preserve"> 04.03.605 </t>
  </si>
  <si>
    <t>5.14.20</t>
  </si>
  <si>
    <t xml:space="preserve"> 04.03.615 </t>
  </si>
  <si>
    <t>VOICE PANEL - 30 PORTAS RJ45</t>
  </si>
  <si>
    <t>5.14.21</t>
  </si>
  <si>
    <t xml:space="preserve"> 04.03.593 </t>
  </si>
  <si>
    <t>PATCH CORD GIGALAN CAT.6 U/UTP - 1,5 METROS - VERMELHO</t>
  </si>
  <si>
    <t>5.14.22</t>
  </si>
  <si>
    <t xml:space="preserve"> 04.03.560 </t>
  </si>
  <si>
    <t>GUIA DE CABOS ABERTO - 1U</t>
  </si>
  <si>
    <t>5.14.23</t>
  </si>
  <si>
    <t xml:space="preserve"> 04.03.561 </t>
  </si>
  <si>
    <t>GUIA DE CABOS ABERTO - 2U</t>
  </si>
  <si>
    <t>5.14.24</t>
  </si>
  <si>
    <t xml:space="preserve"> 04.03.616 </t>
  </si>
  <si>
    <t>5.14.25</t>
  </si>
  <si>
    <t xml:space="preserve"> 04.03.617 </t>
  </si>
  <si>
    <t>RACK FECHADO ENTERPRISE - 22U X 600MM X 600MM</t>
  </si>
  <si>
    <t>5.14.26</t>
  </si>
  <si>
    <t xml:space="preserve"> 04.03.532 </t>
  </si>
  <si>
    <t>DIO - 24 FIBRAS</t>
  </si>
  <si>
    <t>5.14.27</t>
  </si>
  <si>
    <t>04.03.500</t>
  </si>
  <si>
    <t>CAIXA PARA PISO - TAMPA PARA CAIXA DE PISO</t>
  </si>
  <si>
    <t>5.14.28</t>
  </si>
  <si>
    <t>04.03.619</t>
  </si>
  <si>
    <t>SUPORTE P/ TOMADA EM CX. DE PISO - TOMADA RJ - 2 MÓDULOS</t>
  </si>
  <si>
    <t>5.14.29</t>
  </si>
  <si>
    <t xml:space="preserve">	04.03.340</t>
  </si>
  <si>
    <t>CABO OPTICO 24F</t>
  </si>
  <si>
    <t>5.14.30</t>
  </si>
  <si>
    <t>04.03.594</t>
  </si>
  <si>
    <t>PLACA CEGA - PLACA 4X4"</t>
  </si>
  <si>
    <t>5.14.31</t>
  </si>
  <si>
    <t>04.03.449</t>
  </si>
  <si>
    <t>2 MÓDULOS - RJ45</t>
  </si>
  <si>
    <t>5.14.32</t>
  </si>
  <si>
    <t>04.03.620</t>
  </si>
  <si>
    <t>SAÍDA HORIZONTAL PARA ELETRODUTO</t>
  </si>
  <si>
    <t>5.14.33</t>
  </si>
  <si>
    <t>04.03.524</t>
  </si>
  <si>
    <t>COTOVELO RETO - 50X25MM CHAPA 18</t>
  </si>
  <si>
    <t>5.14.34</t>
  </si>
  <si>
    <t>04.03.525</t>
  </si>
  <si>
    <t>CRUZETA (X) HORIZONTAL 90º - 50X25MM CHAPA 18</t>
  </si>
  <si>
    <t>5.14.35</t>
  </si>
  <si>
    <t>04.03.547</t>
  </si>
  <si>
    <t>ELETROCALHA LISA TIPO C - 100X50MM CHAPA 18</t>
  </si>
  <si>
    <t>5.14.36</t>
  </si>
  <si>
    <t>04.03.548</t>
  </si>
  <si>
    <t>ELETROCALHA LISA TIPO C - 50X25MM CHAPA 18</t>
  </si>
  <si>
    <t>5.14.37</t>
  </si>
  <si>
    <t>04.03.621</t>
  </si>
  <si>
    <t>SUPORTE VERTICAL P ELETROCALHA 50 X 50 - 70X96MM</t>
  </si>
  <si>
    <t>5.14.38</t>
  </si>
  <si>
    <t>04.03.635</t>
  </si>
  <si>
    <t>ROTEADOR WI-FI</t>
  </si>
  <si>
    <t>5.14.39</t>
  </si>
  <si>
    <t>04.03.508</t>
  </si>
  <si>
    <t>CFTV - IP/POE - CÂMERA DE SEGURANÇA TIPO DOME 90° IP66</t>
  </si>
  <si>
    <t>5.14.40</t>
  </si>
  <si>
    <t>04.03.585</t>
  </si>
  <si>
    <t>NVR-POE - 32 CÂMERAS</t>
  </si>
  <si>
    <t>5.14.41</t>
  </si>
  <si>
    <t>04.03.650</t>
  </si>
  <si>
    <t>PLUGUE - 110 IDC - 4 PARES</t>
  </si>
  <si>
    <t>5.14.42</t>
  </si>
  <si>
    <t>04.03.651</t>
  </si>
  <si>
    <t>CALHA DE TOMADAS - 10 TOMADAS 2P+T, 10A - 1U</t>
  </si>
  <si>
    <t>5.14.43</t>
  </si>
  <si>
    <t>04.03.652</t>
  </si>
  <si>
    <t>CALHA DE TOMADAS - 12 TOMADAS 2P+T, 10A - 1U</t>
  </si>
  <si>
    <t>5.14.44</t>
  </si>
  <si>
    <t>04.03.653</t>
  </si>
  <si>
    <t>CALHA DE TOMADAS - 8 TOMADAS 2P+T, 10A - 1U</t>
  </si>
  <si>
    <t>5.14.45</t>
  </si>
  <si>
    <t>04.03.654</t>
  </si>
  <si>
    <t>EXTENSÃO ÓTICA MM - 2 FIBRAS - CONETOR ST</t>
  </si>
  <si>
    <t>5.14.46</t>
  </si>
  <si>
    <t>04.03.452</t>
  </si>
  <si>
    <t>SAÍDA DUPLA PARA ELETRODUTO</t>
  </si>
  <si>
    <t>5.14.47</t>
  </si>
  <si>
    <t>04.03.615</t>
  </si>
  <si>
    <t>5.14.48</t>
  </si>
  <si>
    <t>5.14.49</t>
  </si>
  <si>
    <t>04.03.736</t>
  </si>
  <si>
    <t>CURVA HORIZONTAL 45° - 50X25MM</t>
  </si>
  <si>
    <t>5.14.50</t>
  </si>
  <si>
    <t>04.03.530</t>
  </si>
  <si>
    <t>CURVA VERTICAL INTERNA 90° 50X25MM CHAPA 18</t>
  </si>
  <si>
    <t>5.14.51</t>
  </si>
  <si>
    <t>04.03.745</t>
  </si>
  <si>
    <t>GOTEJADOR - 50X50MM CHAPA 18</t>
  </si>
  <si>
    <t>5.14.52</t>
  </si>
  <si>
    <t>5.14.53</t>
  </si>
  <si>
    <t>04.03.759</t>
  </si>
  <si>
    <t>T HORIZONTAL 90° - 50X25MM</t>
  </si>
  <si>
    <t>5.14.54</t>
  </si>
  <si>
    <t>04.03.761</t>
  </si>
  <si>
    <t>TALA PLANA PERFURADA ( EMENDA ELETROCALHA) - 25 MM</t>
  </si>
  <si>
    <t>5.15.1</t>
  </si>
  <si>
    <t>5.15.2</t>
  </si>
  <si>
    <t>5.15.3</t>
  </si>
  <si>
    <t>5.15.4</t>
  </si>
  <si>
    <t>CONECTOR GRAMPO METÁLICO TIPO OLHAL, PARA SPDA, PARA HASTE DE ATERRAMENTO DE 3/4'</t>
  </si>
  <si>
    <t>5.15.5</t>
  </si>
  <si>
    <t>5.15.6</t>
  </si>
  <si>
    <t>5.15.7</t>
  </si>
  <si>
    <t>5.15.8</t>
  </si>
  <si>
    <t>5.15.9</t>
  </si>
  <si>
    <t>5.15.10</t>
  </si>
  <si>
    <t>5.15.11</t>
  </si>
  <si>
    <t>5.15.12</t>
  </si>
  <si>
    <t>5.15.13</t>
  </si>
  <si>
    <t>RE-BAR/ BARRA GALVANIZADA A FOGO DIAM. 3/8" X 3M - FORNECIMENTO E INSTALAÇÃO</t>
  </si>
  <si>
    <t>5.15.14</t>
  </si>
  <si>
    <t>CONECTOR ATERRINSERT ® COM DISCO EM LATÃO E ROSCA FÊMEA M12 . DISTÂNCIA ENTRE RE-BAR E FACE DA FÔRMA REGULÁVEL ENTRE 25 E 40 MM, REF. TEL 656, FAB. TERMOTECNICA - FORNECIMENTO E INSTALAÇÃO</t>
  </si>
  <si>
    <t>5.15.15</t>
  </si>
  <si>
    <t>CLIP ZINCADO PARA EMENDA DE RE-BAR 3/8" - FORNECIMENTO E INSTALAÇAO</t>
  </si>
  <si>
    <t xml:space="preserve">5.16 </t>
  </si>
  <si>
    <t>5.16.1</t>
  </si>
  <si>
    <t>AR CONDICIONADO SPLIT ON/OFF, PISO TETO, 36.000 BTU/H, CICLO FRIO - FORNECIMENTO E INSTALAÇÃO. AF_11/2021_PE</t>
  </si>
  <si>
    <t>5.16.2</t>
  </si>
  <si>
    <t>5.16.3</t>
  </si>
  <si>
    <t>5.16.4</t>
  </si>
  <si>
    <t>5.16.5</t>
  </si>
  <si>
    <t>5.16.6</t>
  </si>
  <si>
    <t>5.16.7</t>
  </si>
  <si>
    <t>5.16.8</t>
  </si>
  <si>
    <t>5.16.9</t>
  </si>
  <si>
    <t>5.16.10</t>
  </si>
  <si>
    <t>TUBO EM COBRE RÍGIDO, DN 22 MM, CLASSE E, COM ISOLAMENTO, INSTALADO EM PRUMADA DE HIDRÁULICA PREDIAL - FORNECIMENTO E INSTALAÇÃO. AF_04/2022</t>
  </si>
  <si>
    <t>5.16.11</t>
  </si>
  <si>
    <t>TUBO EM COBRE RÍGIDO, DN 28 MM, CLASSE E, COM ISOLAMENTO, INSTALADO EM PRUMADA DE HIDRÁULICA PREDIAL - FORNECIMENTO E INSTALAÇÃO. AF_04/2022</t>
  </si>
  <si>
    <t>5.16.12</t>
  </si>
  <si>
    <t>DUTO EM CHAPA DE AÇO GALVANIZADO Nº. 24, PARA AR CONDICIONADO. FORNECIMENTO, MONTAGEM E INSTALAÇÃO</t>
  </si>
  <si>
    <t>5.16.13</t>
  </si>
  <si>
    <t>5.16.14</t>
  </si>
  <si>
    <t>5.16.15</t>
  </si>
  <si>
    <t>5.16.16</t>
  </si>
  <si>
    <t>5.16.17</t>
  </si>
  <si>
    <t>5.16.18</t>
  </si>
  <si>
    <t>5.16.19</t>
  </si>
  <si>
    <t>5.16.20</t>
  </si>
  <si>
    <t xml:space="preserve">FORNECIMENTO E INSTALAÇÃO DE CAIXA DE VENTILAÇÃO COM VENTILADOR TIPO ROTOR SIROCCO E FILTRO CLASSE G4, VAZÃO DE AR 3092 M3/H, PRESSÃO ESTÁTICA 55,0 MMCA, INCLUSIVE SUPORTES, APOIOS E FIXAÇÕES. </t>
  </si>
  <si>
    <t>5.16.21</t>
  </si>
  <si>
    <t>5.16.22</t>
  </si>
  <si>
    <t xml:space="preserve">FORNECIMENTO E INSTALAÇÃO DE CAIXA DE VENTILAÇÃO COM VENTILADOR TIPO ROTOR SIROCCO E FILTRO CLASSE G4, VAZÃO DE AR 944 M3/H, PRESSÃO ESTÁTICA 63,0 MMCA, INCLUSIVE SUPORTES, APOIOS E FIXAÇÕES. </t>
  </si>
  <si>
    <t>5.16.23</t>
  </si>
  <si>
    <t>5.16.24</t>
  </si>
  <si>
    <t>5.16.25</t>
  </si>
  <si>
    <t>5.16.26</t>
  </si>
  <si>
    <t>6.1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</si>
  <si>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</si>
  <si>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</si>
  <si>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</si>
  <si>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</si>
  <si>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</si>
  <si>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</si>
  <si>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</si>
  <si>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</si>
  <si>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</si>
  <si>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</si>
  <si>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</si>
  <si>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</si>
  <si>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</si>
  <si>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</si>
  <si>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</si>
  <si>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</si>
  <si>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</si>
  <si>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</si>
  <si>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</si>
  <si>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</si>
  <si>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</si>
  <si>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</si>
  <si>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</si>
  <si>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</si>
  <si>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</si>
  <si>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</si>
  <si>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</si>
  <si>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</si>
  <si>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</si>
  <si>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</si>
  <si>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</si>
  <si>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</si>
  <si>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</si>
  <si>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</si>
  <si>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</si>
  <si>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 xml:space="preserve">LAJE </t>
  </si>
  <si>
    <t>6.3</t>
  </si>
  <si>
    <t>6.3.1</t>
  </si>
  <si>
    <t>DEPÓSITO UTENSILIOS</t>
  </si>
  <si>
    <t>LAVAGEM PRATOS</t>
  </si>
  <si>
    <t>COZINHA</t>
  </si>
  <si>
    <t>DESPENSA FRIA</t>
  </si>
  <si>
    <t>DESPENSA SECA</t>
  </si>
  <si>
    <t>GREMIO</t>
  </si>
  <si>
    <t>WC COZINHA FEM E MASC</t>
  </si>
  <si>
    <t>LAVAGEM PANELAS/CIRCULAÇÃO</t>
  </si>
  <si>
    <t>CIRCULAÇÃO/DML</t>
  </si>
  <si>
    <t>DESPENSA HORTIFRUTTI</t>
  </si>
  <si>
    <t>DEPOSITO/ MANUT DE MOBILIARIO</t>
  </si>
  <si>
    <t>VEST FUNC FEM / VEST FUNC MASC</t>
  </si>
  <si>
    <t>CARGA E DESCARGA</t>
  </si>
  <si>
    <t>LIXEIRA</t>
  </si>
  <si>
    <t>PLATIBANDA BAIXA</t>
  </si>
  <si>
    <t>PLATIBANDA MEDIA</t>
  </si>
  <si>
    <t>PLATIBANDA ALTA</t>
  </si>
  <si>
    <t>6.3.2</t>
  </si>
  <si>
    <t>6.3.3</t>
  </si>
  <si>
    <t>P11</t>
  </si>
  <si>
    <t>P12</t>
  </si>
  <si>
    <t>J04</t>
  </si>
  <si>
    <t>J05</t>
  </si>
  <si>
    <t>6.3.4</t>
  </si>
  <si>
    <t>P7</t>
  </si>
  <si>
    <t>P10</t>
  </si>
  <si>
    <t>J08</t>
  </si>
  <si>
    <t>J10</t>
  </si>
  <si>
    <t>J14</t>
  </si>
  <si>
    <t>J16</t>
  </si>
  <si>
    <t>J19</t>
  </si>
  <si>
    <t>J21</t>
  </si>
  <si>
    <t>J24</t>
  </si>
  <si>
    <t>J25</t>
  </si>
  <si>
    <t>6.3.5</t>
  </si>
  <si>
    <t>6.3.6</t>
  </si>
  <si>
    <t>6.4</t>
  </si>
  <si>
    <t>6.4.1</t>
  </si>
  <si>
    <t>6.4.2</t>
  </si>
  <si>
    <t>6.4.3</t>
  </si>
  <si>
    <t>6.4.4</t>
  </si>
  <si>
    <t>6.4.5</t>
  </si>
  <si>
    <t>6.4.6</t>
  </si>
  <si>
    <t>6.5</t>
  </si>
  <si>
    <t>6.5.1</t>
  </si>
  <si>
    <t>LAJE</t>
  </si>
  <si>
    <t>DEPOSITO UTENSILIOS</t>
  </si>
  <si>
    <t>DEPOSITO /MANUNT MOBILIARIO</t>
  </si>
  <si>
    <t>6.5.2</t>
  </si>
  <si>
    <t>DEPOSITO UTENSILIOS - PAREDE</t>
  </si>
  <si>
    <t>LAVAGEM PRATOS - PAREDE</t>
  </si>
  <si>
    <t>COZINHA - PAREDE</t>
  </si>
  <si>
    <t>DESPENSA FRIA - PAREDE</t>
  </si>
  <si>
    <t>DESPENSA SECA - PAREDE</t>
  </si>
  <si>
    <t>GREMIO  - PAREDE</t>
  </si>
  <si>
    <t>WC COZINHA FEM E MASC - PAREDE</t>
  </si>
  <si>
    <t>LAVAGEM PANELAS / CIRCULAÇÃO - PAREDE</t>
  </si>
  <si>
    <t>CIRCULAÇÃO / DML - PAREDE</t>
  </si>
  <si>
    <t>DESPENSA HORTIFRUTTI - PAREDE</t>
  </si>
  <si>
    <t>DEPOSITO / MANUNT MOBILIARIO - PAREDE</t>
  </si>
  <si>
    <t>VEST FUNC FEM / VEST FUNC MASC - PAREDE</t>
  </si>
  <si>
    <t>CARGA E DESCARGA - PAREDE</t>
  </si>
  <si>
    <t>LIXEIRO- PAREDE</t>
  </si>
  <si>
    <t>PLATIBANDA BAIXA - PAREDE</t>
  </si>
  <si>
    <t>PLATIBANDA ALTA - PAREDE</t>
  </si>
  <si>
    <t>6.5.3</t>
  </si>
  <si>
    <t>6.5.4</t>
  </si>
  <si>
    <t>6.6</t>
  </si>
  <si>
    <t>6.6.1</t>
  </si>
  <si>
    <t>REFEITÓRIO</t>
  </si>
  <si>
    <t>6.6.2</t>
  </si>
  <si>
    <t>6.6.3</t>
  </si>
  <si>
    <t>6.6.5</t>
  </si>
  <si>
    <t>6.6.6</t>
  </si>
  <si>
    <t>6.6.7</t>
  </si>
  <si>
    <t>6.6.8</t>
  </si>
  <si>
    <t>6.6.9</t>
  </si>
  <si>
    <t>6.6.10</t>
  </si>
  <si>
    <t>6.6.11</t>
  </si>
  <si>
    <t>6.6.12</t>
  </si>
  <si>
    <t>ÁREA DE RECEBIMENTOS DE MERCADORIA</t>
  </si>
  <si>
    <t>6.7</t>
  </si>
  <si>
    <t>6.7.1</t>
  </si>
  <si>
    <t>6.7.2</t>
  </si>
  <si>
    <t>6.7.3</t>
  </si>
  <si>
    <t>6.7.4</t>
  </si>
  <si>
    <t>6.7.5</t>
  </si>
  <si>
    <t>6.7.6</t>
  </si>
  <si>
    <t>6.7.7</t>
  </si>
  <si>
    <t>6.7.8</t>
  </si>
  <si>
    <t>6.8</t>
  </si>
  <si>
    <t>6.8.1</t>
  </si>
  <si>
    <t>PLACAS ACÚSTICAS EM FIBRA MINERAL INCOMBUSTÍVEL COM ACABAMENTO NA COR BRANCA, MODELO: SONEX ACOUSTIC -LINHA FINETTA, NAS DIMENSÕES 0,625x0,625m OU SIMILAR</t>
  </si>
  <si>
    <t>6.9</t>
  </si>
  <si>
    <t>6.9.1</t>
  </si>
  <si>
    <t>6.9.2</t>
  </si>
  <si>
    <t>PF1</t>
  </si>
  <si>
    <t>PF2</t>
  </si>
  <si>
    <t>PF10</t>
  </si>
  <si>
    <t>6.9.3</t>
  </si>
  <si>
    <t>6.9.4</t>
  </si>
  <si>
    <t xml:space="preserve">	PORTA DE ALUMÍNIO DE ABRIR COM LAMBRI, COM GUARNIÇÃO, FIXAÇÃO COM PARAFUSOS - FORNECIMENTO E INSTALAÇÃO. AF_12/2019</t>
  </si>
  <si>
    <t>6.9.5</t>
  </si>
  <si>
    <t>6.9.6</t>
  </si>
  <si>
    <t>6.9.7</t>
  </si>
  <si>
    <t>6.9.8</t>
  </si>
  <si>
    <t>6.10</t>
  </si>
  <si>
    <t>6.10.1</t>
  </si>
  <si>
    <t>6.10.2</t>
  </si>
  <si>
    <t>6.10.3</t>
  </si>
  <si>
    <t>6.11</t>
  </si>
  <si>
    <t xml:space="preserve">    </t>
  </si>
  <si>
    <t>6.11.1</t>
  </si>
  <si>
    <t>6.11.2</t>
  </si>
  <si>
    <t>6.11.3</t>
  </si>
  <si>
    <t>CAIXA OCTOGONAL 3" X 3", PVC, INSTALADA EM LAJE - FORNECIMENTO E INSTALAÇÃO. AF_03/2023</t>
  </si>
  <si>
    <t>6.11.4</t>
  </si>
  <si>
    <t>CURVA 90 GRAUS, EM AÇO, CONEXÃO SOLDADA, DN 40 (1 1/2"), INSTALADO EM REDE DE ALIMENTAÇÃO PARA HIDRANTE - FORNECIMENTO E INSTALAÇÃO. AF_10/2020</t>
  </si>
  <si>
    <t>6.11.5</t>
  </si>
  <si>
    <t>6.11.6</t>
  </si>
  <si>
    <t>LUVA PARA ELETRODUTO, PVC, ROSCÁVEL, DN 50 MM (1 1/2"), PARA REDE ENTERRADA DE DISTRIBUIÇÃO DE ENERGIA ELÉTRICA - FORNECIMENTO E INSTALAÇÃO. AF_12/2021</t>
  </si>
  <si>
    <t>6.11.7</t>
  </si>
  <si>
    <t>6.11.8</t>
  </si>
  <si>
    <t>6.11.9</t>
  </si>
  <si>
    <t>6.11.10</t>
  </si>
  <si>
    <t>6.11.11</t>
  </si>
  <si>
    <t>CABO DE COBRE FLEXÍVEL ISOLADO, 10 MM², ANTI-CHAMA 0,6/1,0 KV, PARA DISTRIBUIÇÃO - FORNECIMENTO E INSTALAÇÃO. AF_10/2020</t>
  </si>
  <si>
    <t>6.11.12</t>
  </si>
  <si>
    <t>CABO DE COBRE FLEXÍVEL ISOLADO, 120 MM², 0,6/1,0 KV, PARA REDE AÉREA DE DISTRIBUIÇÃO DE ENERGIA ELÉTRICA DE BAIXA TENSÃO - FORNECIMENTO E INSTALAÇÃO. AF_07/2020</t>
  </si>
  <si>
    <t>6.11.13</t>
  </si>
  <si>
    <t>CABO DE COBRE FLEXÍVEL ISOLADO, 16 MM², 0,6/1,0 KV, PARA REDE AÉREA DE DISTRIBUIÇÃO DE ENERGIA ELÉTRICA DE BAIXA TENSÃO - FORNECIMENTO E INSTALAÇÃO. AF_07/2020</t>
  </si>
  <si>
    <t>6.11.14</t>
  </si>
  <si>
    <t>CABO DE COBRE FLEXÍVEL ISOLADO, 35 MM², 0,6/1,0 KV, PARA REDE AÉREA DE DISTRIBUIÇÃO DE ENERGIA ELÉTRICA DE BAIXA TENSÃO - FORNECIMENTO E INSTALAÇÃO. AF_07/2020</t>
  </si>
  <si>
    <t>6.11.15</t>
  </si>
  <si>
    <t>6.11.16</t>
  </si>
  <si>
    <t>ILUMINAÇÃO GERAL</t>
  </si>
  <si>
    <t>ILUMINAÇÃO DE EMERGÊNCIA</t>
  </si>
  <si>
    <t>6.11.17</t>
  </si>
  <si>
    <t>AR CONDICIONADOS</t>
  </si>
  <si>
    <t>6.11.18</t>
  </si>
  <si>
    <t>6.11.19</t>
  </si>
  <si>
    <t>6.11.20</t>
  </si>
  <si>
    <t>6.11.21</t>
  </si>
  <si>
    <t>6.11.22</t>
  </si>
  <si>
    <t>6.11.23</t>
  </si>
  <si>
    <t>6.11.24</t>
  </si>
  <si>
    <t>INTERRUPTOR PARALELO (1 MÓDULO) COM 1 TOMADA DE EMBUTIR 2P+T 10 A, INCLUINDO SUPORTE E PLACA - FORNECIMENTO E INSTALAÇÃO. AF_03/2023</t>
  </si>
  <si>
    <t>6.11.25</t>
  </si>
  <si>
    <t>6.11.26</t>
  </si>
  <si>
    <t>INTERRUPTOR SIMPLES (1 MÓDULO) COM 1 TOMADA DE EMBUTIR 2P+T 10 A, INCLUINDO SUPORTE E PLACA - FORNECIMENTO E INSTALAÇÃO. AF_03/2023</t>
  </si>
  <si>
    <t>6.11.27</t>
  </si>
  <si>
    <t>6.11.28</t>
  </si>
  <si>
    <t>6.11.29</t>
  </si>
  <si>
    <t>6.11.30</t>
  </si>
  <si>
    <t>6.11.31</t>
  </si>
  <si>
    <t>6.11.32</t>
  </si>
  <si>
    <t>6.11.33</t>
  </si>
  <si>
    <t>6.11.34</t>
  </si>
  <si>
    <t>DISJUNTOR TRIPOLAR TIPO NEMA, CORRENTE NOMINAL DE 60 ATÉ 100A - FORNECIMENTO E INSTALAÇÃO. AF_10/2020</t>
  </si>
  <si>
    <t>6.11.35</t>
  </si>
  <si>
    <t>6.11.36</t>
  </si>
  <si>
    <t>6.11.37</t>
  </si>
  <si>
    <t>6.11.38</t>
  </si>
  <si>
    <t>6.11.39</t>
  </si>
  <si>
    <t>6.11.40</t>
  </si>
  <si>
    <t>6.11.41</t>
  </si>
  <si>
    <t>ELETRODUTO FLEXÍVEL CORRUGADO REFORÇADO, PVC, DN 32 MM (1"), PARA CIRCUITOS TERMINAIS, INSTALADO EM PAREDE - FORNECIMENTO E INSTALAÇÃO. AF_03/2023</t>
  </si>
  <si>
    <t>6.11.42</t>
  </si>
  <si>
    <t>ELETRODUTO FLEXÍVEL CORRUGADO REFORÇADO, PVC, DN 25 MM (3/4"), PARA CIRCUITOS TERMINAIS, INSTALADO EM PAREDE - FORNECIMENTO E INSTALAÇÃO. AF_03/2023</t>
  </si>
  <si>
    <t>6.11.43</t>
  </si>
  <si>
    <t>6.11.44</t>
  </si>
  <si>
    <t>6.11.45</t>
  </si>
  <si>
    <t>6.11.46</t>
  </si>
  <si>
    <t>6.11.47</t>
  </si>
  <si>
    <t>ELETRODUTO RÍGIDO ROSCÁVEL, PVC, DN 20 MM (1/2"), PARA CIRCUITOS TERMINAIS, INSTALADO EM FORRO - FORNECIMENTO E INSTALAÇÃO. AF_03/2023</t>
  </si>
  <si>
    <t>6.11.48</t>
  </si>
  <si>
    <t>ELETRODUTO RÍGIDO ROSCÁVEL, PVC, DN 60 MM (2"), PARA REDE ENTERRADA DE DISTRIBUIÇÃO DE ENERGIA ELÉTRICA - FORNECIMENTO E INSTALAÇÃO. AF_12/2021</t>
  </si>
  <si>
    <t>6.11.49</t>
  </si>
  <si>
    <t>6.11.50</t>
  </si>
  <si>
    <t>6.11.51</t>
  </si>
  <si>
    <t>ELETRODUTO RÍGIDO ROSCÁVEL, PVC, DN 85 MM (3"), PARA REDE ENTERRADA DE DISTRIBUIÇÃO DE ENERGIA ELÉTRICA - FORNECIMENTO E INSTALAÇÃO. AF_12/2021</t>
  </si>
  <si>
    <t>6.11.52</t>
  </si>
  <si>
    <t>6.11.53</t>
  </si>
  <si>
    <t>ISOLADOR, TIPO ROLDANA, PARA BAIXA TENSÃO - FORNECIMENTO E INSTALAÇÃO. AF_07/2020</t>
  </si>
  <si>
    <t>6.11.54</t>
  </si>
  <si>
    <t>6.11.55</t>
  </si>
  <si>
    <t>LÂMPADA TUBULAR LED DE 9/10 W, BASE G13 - FORNECIMENTO E INSTALAÇÃO. AF_02/2020_PS</t>
  </si>
  <si>
    <t>6.11.56</t>
  </si>
  <si>
    <t>LÂMPADA TUBULAR LED DE 18/20 W, BASE G13 - FORNECIMENTO E INSTALAÇÃO. AF_02/2020_PS</t>
  </si>
  <si>
    <t>6.11.57</t>
  </si>
  <si>
    <t>ADAPTADOR CURTO COM BOLSA E ROSCA PARA REGISTRO, PVC, SOLDÁVEL, DN 32MM X 1 , INSTALADO EM RAMAL OU SUB-RAMAL DE ÁGUA - FORNECIMENTO E INSTALAÇÃO. AF_06/2022</t>
  </si>
  <si>
    <t>6.11.58</t>
  </si>
  <si>
    <t xml:space="preserve"> 04.03.573 </t>
  </si>
  <si>
    <t>LUVA AÇO GALVAN. PESADO - 1.1/2"</t>
  </si>
  <si>
    <t>6.11.59</t>
  </si>
  <si>
    <t xml:space="preserve"> 04.03.574 </t>
  </si>
  <si>
    <t>LUVA AÇO GALVAN. PESADO - 1/2"</t>
  </si>
  <si>
    <t>6.11.60</t>
  </si>
  <si>
    <t xml:space="preserve"> 04.03.491 </t>
  </si>
  <si>
    <t>CAIXA DE PASSAGEM - ALVENARIA - 400X400X400MM</t>
  </si>
  <si>
    <t>6.11.61</t>
  </si>
  <si>
    <t xml:space="preserve"> 04.03.490 </t>
  </si>
  <si>
    <t>6.11.62</t>
  </si>
  <si>
    <t xml:space="preserve"> 04.03.487 </t>
  </si>
  <si>
    <t>CAIXA DE PASSAGEM - AÇO PINTADA (REF LUKBOX) - 200X200X100 MM</t>
  </si>
  <si>
    <t>6.11.63</t>
  </si>
  <si>
    <t>6.11.64</t>
  </si>
  <si>
    <t xml:space="preserve"> 04.03.493 </t>
  </si>
  <si>
    <t>CAIXA DE PASSAGEM - PVC (REF KRONA) - 25X20 MM</t>
  </si>
  <si>
    <t>6.11.65</t>
  </si>
  <si>
    <t xml:space="preserve"> 04.03.584 </t>
  </si>
  <si>
    <t>MOTOR TRIFÁSICO 380V, 60HZ - 15CV</t>
  </si>
  <si>
    <t>6.11.66</t>
  </si>
  <si>
    <t xml:space="preserve"> 04.03.594 </t>
  </si>
  <si>
    <t>6.11.67</t>
  </si>
  <si>
    <t xml:space="preserve"> 04.03.625 </t>
  </si>
  <si>
    <t>RENOVADOR DE AR - VENTOKIT</t>
  </si>
  <si>
    <t>6.11.68</t>
  </si>
  <si>
    <t xml:space="preserve"> 04.03.582 </t>
  </si>
  <si>
    <t>MÓDULO CEGO C/ FURO 11MM</t>
  </si>
  <si>
    <t>6.11.69</t>
  </si>
  <si>
    <t xml:space="preserve"> 04.03.536 </t>
  </si>
  <si>
    <t>DISJUNTOR TRIPOLAR TERMOMAGNÉTICO (380 V/220 V) - DIN (CURVA C) - 500 A - 18 KA</t>
  </si>
  <si>
    <t>6.11.70</t>
  </si>
  <si>
    <t>6.11.71</t>
  </si>
  <si>
    <t xml:space="preserve"> 04.03.467 </t>
  </si>
  <si>
    <t>BLOCO AUTÔNOMO - ACLARAMENTO - AUTONOMIA 1H</t>
  </si>
  <si>
    <t>6.11.72</t>
  </si>
  <si>
    <t xml:space="preserve"> 04.03.473 </t>
  </si>
  <si>
    <t>CABEÇOTE ALUMÍNIO P/ ELETRODUTO - 1.1/2"</t>
  </si>
  <si>
    <t>6.11.73</t>
  </si>
  <si>
    <t xml:space="preserve"> 04.03.499 </t>
  </si>
  <si>
    <t>CAIXA DE INSPEÇÃO DE ATERRAMENTO EM PVC Ø250MM COM TAMPA EM FERRO FUNDIDO, REFORÇADA</t>
  </si>
  <si>
    <t>6.11.74</t>
  </si>
  <si>
    <t xml:space="preserve"> 04.03.512 </t>
  </si>
  <si>
    <t>CINTA CIRCULAR AÇO GALV. P/ POSTE - D=150MM</t>
  </si>
  <si>
    <t>6.11.75</t>
  </si>
  <si>
    <t xml:space="preserve"> 04.03.626 </t>
  </si>
  <si>
    <t>POSTE CONCRETO ARMADO - COMPRIMENTO 6,0M</t>
  </si>
  <si>
    <t>6.11.76</t>
  </si>
  <si>
    <t xml:space="preserve"> 04.03.627 </t>
  </si>
  <si>
    <t>6.11.77</t>
  </si>
  <si>
    <t xml:space="preserve"> 04.03.598 </t>
  </si>
  <si>
    <t>QUADRO - BARR. TRIF., DISJ GERAL, COMPACTO - DIN (REF. MORATORI) - CAP. 42 DISJ. UNIP. - IN BARR. 100 A</t>
  </si>
  <si>
    <t>6.11.78</t>
  </si>
  <si>
    <t xml:space="preserve"> 04.03.599 </t>
  </si>
  <si>
    <t>QUADRO - BARR. TRIF., DISJ. GERAL - DIN (REF. MORATORI) - CAP. 32 DISJ. UNIP. - IN BARR. 150A</t>
  </si>
  <si>
    <t>6.11.79</t>
  </si>
  <si>
    <t xml:space="preserve"> 04.03.628 </t>
  </si>
  <si>
    <t>BLOCO AUTÔNOMO - ACLARAMENTO - AUTONOMIA 3H - 600LM</t>
  </si>
  <si>
    <t>6.11.80</t>
  </si>
  <si>
    <t xml:space="preserve"> 04.03.571 </t>
  </si>
  <si>
    <t>LUMINÁRIA LED EMBUTIR - LUMINÁRIA QUADRADA DE EMBUTIR EM FORROS MODULADOS 625X625</t>
  </si>
  <si>
    <t>6.11.81</t>
  </si>
  <si>
    <t>6.11.82</t>
  </si>
  <si>
    <t xml:space="preserve"> 04.03.570 </t>
  </si>
  <si>
    <t>LUMINÁRIA LED - LUMINÁRIA HERMÉTICA DE SOBREPOR PARA USO COM LÂMPADAS T8 TUBOLED DE 18/20W EM LED. GRAU DE PROTEÇÃO IP 66. DIMENSÕES 1272X145MM. CORPO EM POLICARBONATO INJETADO. DIFUSOR EM POLICARBONATO TRANSPARENTE MICROTEXTURIZADO (PRISMÁTICO) TRANSLUCIDO. REF. CHT01-S232 DA LUMICENTER OU EQUIVALENTE TÉCNICO COM CARACTERÍSTICAS IGUAIS OU SUPERIORES ÀS CONTIDAS NO CADERNO DE ESPECIFICAÇÕES.</t>
  </si>
  <si>
    <t>6.11.83</t>
  </si>
  <si>
    <t xml:space="preserve"> 04.03.334 </t>
  </si>
  <si>
    <t>PAINEL ELÉTRICO P/ BOMBA, COM CHAVE DE PARTIDA DIRETA (MANUAL/AUTOMÁTICA), 15 CV, TRIFÁSICO</t>
  </si>
  <si>
    <t>6.11.84</t>
  </si>
  <si>
    <t xml:space="preserve"> 97610 </t>
  </si>
  <si>
    <t>LÂMPADA COMPACTA DE LED 10 W, BASE E27 - FORNECIMENTO E INSTALAÇÃO. AF_02/2020</t>
  </si>
  <si>
    <t>6.11.85</t>
  </si>
  <si>
    <t>04.03.753</t>
  </si>
  <si>
    <t>CAIXA DE PASSAGEM PVC  30X34 MM PISO</t>
  </si>
  <si>
    <t>6.11.86</t>
  </si>
  <si>
    <t>6.11.87</t>
  </si>
  <si>
    <t>04.03.756</t>
  </si>
  <si>
    <t>QUADRO DE DISTRIBUIÇÃO 70 DISJUNTOR</t>
  </si>
  <si>
    <t>6.12</t>
  </si>
  <si>
    <t>6.12.1</t>
  </si>
  <si>
    <t>6.12.1.1</t>
  </si>
  <si>
    <t>6.12.1.2</t>
  </si>
  <si>
    <t>6.12.1.3</t>
  </si>
  <si>
    <t>TUBO, PVC, SOLDÁVEL, DN 20MM, INSTALADO EM RAMAL OU SUB-RAMAL DE ÁGUA - FORNECIMENTO E INSTALAÇÃO. AF_06/2022</t>
  </si>
  <si>
    <t>6.12.1.4</t>
  </si>
  <si>
    <t>6.12.1.5</t>
  </si>
  <si>
    <t>6.12.1.6</t>
  </si>
  <si>
    <t>6.12.1.7</t>
  </si>
  <si>
    <t>JOELHO 90 GRAUS, CPVC, SOLDÁVEL, DN 28MM, INSTALADO EM RAMAL DE DISTRIBUIÇÃO DE ÁGUA   FORNECIMENTO E INSTALAÇÃO. AF_06/2022</t>
  </si>
  <si>
    <t>6.12.1.8</t>
  </si>
  <si>
    <t>6.12.1.9</t>
  </si>
  <si>
    <t>6.12.1.10</t>
  </si>
  <si>
    <t>6.12.1.11</t>
  </si>
  <si>
    <t>6.12.1.12</t>
  </si>
  <si>
    <t>6.12.1.13</t>
  </si>
  <si>
    <t>TÊ COM BUCHA DE LATÃO NA BOLSA CENTRAL, PVC, SOLDÁVEL, DN  25 MM X 3/4", INSTALADO EM RESERVAÇÃO PREDIAL DE ÁGUA - FORNECIMENTO E INSTALAÇÃO. AF_04/2024</t>
  </si>
  <si>
    <t>6.12.1.14</t>
  </si>
  <si>
    <t>6.12.1.15</t>
  </si>
  <si>
    <t>6.12.1.16</t>
  </si>
  <si>
    <t>6.12.1.17</t>
  </si>
  <si>
    <t>6.12.1.18</t>
  </si>
  <si>
    <t>6.12.1.19</t>
  </si>
  <si>
    <t>6.12.1.20</t>
  </si>
  <si>
    <t>6.12.2</t>
  </si>
  <si>
    <t>6.12.2.1</t>
  </si>
  <si>
    <t>6.12.2.2</t>
  </si>
  <si>
    <t>6.12.2.3</t>
  </si>
  <si>
    <t>6.12.2.4</t>
  </si>
  <si>
    <t>6.12.2.5</t>
  </si>
  <si>
    <t>6.12.2.6</t>
  </si>
  <si>
    <t>6.12.2.7</t>
  </si>
  <si>
    <t>6.12.2.8</t>
  </si>
  <si>
    <t>6.12.2.9</t>
  </si>
  <si>
    <t>6.12.2.10</t>
  </si>
  <si>
    <t>6.12.2.11</t>
  </si>
  <si>
    <t>6.12.2.12</t>
  </si>
  <si>
    <t>6.12.2.13</t>
  </si>
  <si>
    <t>6.12.2.14</t>
  </si>
  <si>
    <t>6.12.2.15</t>
  </si>
  <si>
    <t>6.12.2.16</t>
  </si>
  <si>
    <t>6.12.2.17</t>
  </si>
  <si>
    <t>6.12.2.18</t>
  </si>
  <si>
    <t>6.12.2.19</t>
  </si>
  <si>
    <t>6.12.2.20</t>
  </si>
  <si>
    <t>6.12.3</t>
  </si>
  <si>
    <t>6.12.3.1</t>
  </si>
  <si>
    <t>6.12.3.2</t>
  </si>
  <si>
    <t>6.12.3.3</t>
  </si>
  <si>
    <t>6.12.3.4</t>
  </si>
  <si>
    <t>6.12.3.5</t>
  </si>
  <si>
    <t>6.12.3.6</t>
  </si>
  <si>
    <t>6.12.3.7</t>
  </si>
  <si>
    <t>6.12.3.8</t>
  </si>
  <si>
    <t>6.12.3.9</t>
  </si>
  <si>
    <t>6.12.3.10</t>
  </si>
  <si>
    <t>6.12.3.11</t>
  </si>
  <si>
    <t>6.12.3.12</t>
  </si>
  <si>
    <t>6.12.3.13</t>
  </si>
  <si>
    <t>6.12.3.14</t>
  </si>
  <si>
    <t>6.12.3.15</t>
  </si>
  <si>
    <t>6.12.3.16</t>
  </si>
  <si>
    <t>6.12.3.17</t>
  </si>
  <si>
    <t>6.12.4</t>
  </si>
  <si>
    <t>6.12.4.1</t>
  </si>
  <si>
    <t>6.12.4.2</t>
  </si>
  <si>
    <t>6.12.4.3</t>
  </si>
  <si>
    <t>6.12.4.4</t>
  </si>
  <si>
    <t>6.12.4.5</t>
  </si>
  <si>
    <t>6.12.4.6</t>
  </si>
  <si>
    <t>GRELHA PVC, DN 150 X 150 MM, FORNECIDO E INSTALADO EM RAMAIS DE ENCAMINHAMENTO DE ÁGUA PLUVIAL.</t>
  </si>
  <si>
    <t>6.12.4.7</t>
  </si>
  <si>
    <t>6.12.4.8</t>
  </si>
  <si>
    <t>6.12.4.9</t>
  </si>
  <si>
    <t>6.12.4.10</t>
  </si>
  <si>
    <t>6.12.4.11</t>
  </si>
  <si>
    <t>6.12.4.12</t>
  </si>
  <si>
    <t>6.12.4.13</t>
  </si>
  <si>
    <t>6.13</t>
  </si>
  <si>
    <t>FEITO</t>
  </si>
  <si>
    <t>6.13.1</t>
  </si>
  <si>
    <t>6.13.2</t>
  </si>
  <si>
    <t>6.13.3</t>
  </si>
  <si>
    <t>6.13.4</t>
  </si>
  <si>
    <t>6.13.5</t>
  </si>
  <si>
    <t>6.13.6</t>
  </si>
  <si>
    <t>6.13.7</t>
  </si>
  <si>
    <t>6.14</t>
  </si>
  <si>
    <t>6.14.1</t>
  </si>
  <si>
    <t>6.14.2</t>
  </si>
  <si>
    <t>6.14.3</t>
  </si>
  <si>
    <t>6.14.4</t>
  </si>
  <si>
    <t>6.14.5</t>
  </si>
  <si>
    <t>6.14.6</t>
  </si>
  <si>
    <t>FIXAÇÃO DE TUBOS HORIZONTAIS DE PPR DIÂMETROS MENORES OU IGUAIS A 40 MM, COM ABRAÇADEIRA METÁLICA RÍGIDA TIPO  D  COM PARAFUSO DE FIXAÇÃO 1 1/4", FIXADA DIRETAMENTE NA LAJE OU PAREDE. AF_09/2023</t>
  </si>
  <si>
    <t>6.14.7</t>
  </si>
  <si>
    <t>6.14.8</t>
  </si>
  <si>
    <t xml:space="preserve"> 04.03.507 </t>
  </si>
  <si>
    <t>CFTV - IP/POE - CÂMERA DE SEGURANÇA TIPO BULLET 90° IP66</t>
  </si>
  <si>
    <t>6.14.9</t>
  </si>
  <si>
    <t xml:space="preserve"> 04.03.508 </t>
  </si>
  <si>
    <t>6.14.10</t>
  </si>
  <si>
    <t xml:space="preserve"> 04.03.585 </t>
  </si>
  <si>
    <t>6.14.11</t>
  </si>
  <si>
    <t>6.14.12</t>
  </si>
  <si>
    <t>6.14.13</t>
  </si>
  <si>
    <t xml:space="preserve"> 04.03.632 </t>
  </si>
  <si>
    <t>SWITCH (10/100)BASETX/POE - 24 PORTAS</t>
  </si>
  <si>
    <t>6.14.14</t>
  </si>
  <si>
    <t>6.14.15</t>
  </si>
  <si>
    <t>6.14.16</t>
  </si>
  <si>
    <t>6.14.17</t>
  </si>
  <si>
    <t>6.14.18</t>
  </si>
  <si>
    <t>6.14.19</t>
  </si>
  <si>
    <t xml:space="preserve"> 04.03.481 </t>
  </si>
  <si>
    <t>BUCHA DE NYLON - S6</t>
  </si>
  <si>
    <t>6.14.20</t>
  </si>
  <si>
    <t xml:space="preserve"> 04.03.591 </t>
  </si>
  <si>
    <t>PARAFUSO FENDA GALVAN. CAB. PANELA - 4,2X32MM AUTOATARRACHANTE</t>
  </si>
  <si>
    <t>6.14.21</t>
  </si>
  <si>
    <t xml:space="preserve"> 04.03.633 </t>
  </si>
  <si>
    <t>UTP-6</t>
  </si>
  <si>
    <t>6.14.22</t>
  </si>
  <si>
    <t xml:space="preserve"> 04.03.340 </t>
  </si>
  <si>
    <t>6.14.23</t>
  </si>
  <si>
    <t>6.14.24</t>
  </si>
  <si>
    <t xml:space="preserve"> 04.03.449 </t>
  </si>
  <si>
    <t>RJ45 - 2 MÓDULOS</t>
  </si>
  <si>
    <t>6.14.25</t>
  </si>
  <si>
    <t xml:space="preserve"> 04.03.651 </t>
  </si>
  <si>
    <t>6.14.26</t>
  </si>
  <si>
    <t xml:space="preserve"> 04.03.654 </t>
  </si>
  <si>
    <t>6.14.27</t>
  </si>
  <si>
    <t xml:space="preserve"> 04.03.635 </t>
  </si>
  <si>
    <t>6.15</t>
  </si>
  <si>
    <t>6.15.1</t>
  </si>
  <si>
    <t>6.15.2</t>
  </si>
  <si>
    <t>6.15.3</t>
  </si>
  <si>
    <t>6.15.4</t>
  </si>
  <si>
    <t>6.15.5</t>
  </si>
  <si>
    <t>6.15.6</t>
  </si>
  <si>
    <t xml:space="preserve">FORNECIMENTO E INSTALAÇÃO DE CAIXA DE VENTILAÇÃO COM VENTILADOR TIPO ROTOR SIROCCO E FILTRO CLASSE G4, VAZÃO DE AR 580 M3/H, PRESSÃO ESTÁTICA 40,0 MMCA, INCLUSIVE SUPORTES, APOIOS E FIXAÇÕES. </t>
  </si>
  <si>
    <t>6.15.7</t>
  </si>
  <si>
    <t>6.15.8</t>
  </si>
  <si>
    <t>6.15.9</t>
  </si>
  <si>
    <t>6.15.10</t>
  </si>
  <si>
    <t>6.15.11</t>
  </si>
  <si>
    <t>6.15.12</t>
  </si>
  <si>
    <t>6.15.13</t>
  </si>
  <si>
    <t>6.15.14</t>
  </si>
  <si>
    <t>6.15.15</t>
  </si>
  <si>
    <t>6.15.16</t>
  </si>
  <si>
    <t>6.15.17</t>
  </si>
  <si>
    <t>6.15.18</t>
  </si>
  <si>
    <t>6.15.19</t>
  </si>
  <si>
    <t>6.15.20</t>
  </si>
  <si>
    <t>6.15.21</t>
  </si>
  <si>
    <t>6.15.22</t>
  </si>
  <si>
    <t>6.15.23</t>
  </si>
  <si>
    <t>6.16</t>
  </si>
  <si>
    <t>6.16.1</t>
  </si>
  <si>
    <t>6.16.2</t>
  </si>
  <si>
    <t>6.16.3</t>
  </si>
  <si>
    <t>6.16.4</t>
  </si>
  <si>
    <t>Fornecimento e instalação de Regulador de pressão de 2º estagio 7kg/h</t>
  </si>
  <si>
    <t>6.16.5</t>
  </si>
  <si>
    <t>6.16.6</t>
  </si>
  <si>
    <t>6.16.7</t>
  </si>
  <si>
    <t>6.16.8</t>
  </si>
  <si>
    <t>6.16.9</t>
  </si>
  <si>
    <t>6.16.10</t>
  </si>
  <si>
    <t>6.16.11</t>
  </si>
  <si>
    <t>6.16.12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</si>
  <si>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</si>
  <si>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</si>
  <si>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</si>
  <si>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</si>
  <si>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</si>
  <si>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</si>
  <si>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</si>
  <si>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</si>
  <si>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</si>
  <si>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</si>
  <si>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</si>
  <si>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</si>
  <si>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</si>
  <si>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</si>
  <si>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7.1.14</t>
  </si>
  <si>
    <t>7.1.15</t>
  </si>
  <si>
    <t>7.1.16</t>
  </si>
  <si>
    <t>7.1.17</t>
  </si>
  <si>
    <t>7.1.18</t>
  </si>
  <si>
    <t>7.1.19</t>
  </si>
  <si>
    <t>7.1.20</t>
  </si>
  <si>
    <t>7.1.21</t>
  </si>
  <si>
    <t>7.2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</si>
  <si>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</si>
  <si>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</si>
  <si>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</si>
  <si>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</si>
  <si>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</si>
  <si>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</si>
  <si>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</si>
  <si>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</si>
  <si>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</si>
  <si>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</si>
  <si>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7.2.11</t>
  </si>
  <si>
    <t>7.2.12</t>
  </si>
  <si>
    <t>7.2.13</t>
  </si>
  <si>
    <t>7.2.14</t>
  </si>
  <si>
    <t>7.2.15</t>
  </si>
  <si>
    <t>7.2.16</t>
  </si>
  <si>
    <t>7.2.17</t>
  </si>
  <si>
    <t>7.2.18</t>
  </si>
  <si>
    <t>7.3</t>
  </si>
  <si>
    <t>7.3.1</t>
  </si>
  <si>
    <t>CIRC LAB ESP</t>
  </si>
  <si>
    <t>LAB ESPECIAIS 1</t>
  </si>
  <si>
    <t>CIRC LAB</t>
  </si>
  <si>
    <t>LAB ESPECIAIS 2</t>
  </si>
  <si>
    <t>7.3.2</t>
  </si>
  <si>
    <t>7.3.3</t>
  </si>
  <si>
    <t>7.3.54</t>
  </si>
  <si>
    <t>P8</t>
  </si>
  <si>
    <t>PF01</t>
  </si>
  <si>
    <t>J22</t>
  </si>
  <si>
    <t>J23</t>
  </si>
  <si>
    <t>7.3.65</t>
  </si>
  <si>
    <t>7.3.6</t>
  </si>
  <si>
    <t>7.4</t>
  </si>
  <si>
    <t>7.4.1</t>
  </si>
  <si>
    <t>7.4.2</t>
  </si>
  <si>
    <t>7.4.3</t>
  </si>
  <si>
    <t>7.4.4</t>
  </si>
  <si>
    <t>7.4.5</t>
  </si>
  <si>
    <t>7.4.6</t>
  </si>
  <si>
    <t>7.5</t>
  </si>
  <si>
    <t>7.5.1</t>
  </si>
  <si>
    <t>LABORATORIOS ESPECIAIS 1</t>
  </si>
  <si>
    <t>CIRC</t>
  </si>
  <si>
    <t>LABORATORIOS ESPECIAIS 2</t>
  </si>
  <si>
    <t>7.5.2</t>
  </si>
  <si>
    <t>WC FEM - PAREDE</t>
  </si>
  <si>
    <t>WC PCD  - PAREDE</t>
  </si>
  <si>
    <t>WC MASC  - PAREDE</t>
  </si>
  <si>
    <t>CIRC LAB ESP  - PAREDE</t>
  </si>
  <si>
    <t>LABORATORIOS ESPECIAIS  1 - PAREDE</t>
  </si>
  <si>
    <t>CIRC  - PAREDE</t>
  </si>
  <si>
    <t>LABORATORIOS ESPECIAIS 2  - PAREDE</t>
  </si>
  <si>
    <t>7.5.3</t>
  </si>
  <si>
    <t>7.5.4</t>
  </si>
  <si>
    <t>7.6</t>
  </si>
  <si>
    <t>7.6.1</t>
  </si>
  <si>
    <t>7.6.2</t>
  </si>
  <si>
    <t>7.6.3</t>
  </si>
  <si>
    <t>7.6.4</t>
  </si>
  <si>
    <t>7.6.5</t>
  </si>
  <si>
    <t>REVESTIMENTO CERÂMICO PARA PISO COM PLACAS TIPO ESMALTADA EXTRA DE DIMENSÕES 45X45 CM APLICADA EM AMBIENTES DE ÁREA MENOR QUE 5 M2. AF_02/2023_PE</t>
  </si>
  <si>
    <t>7.6.6</t>
  </si>
  <si>
    <t>REVESTIMENTO CERÂMICO PARA PISO COM PLACAS TIPO ESMALTADA EXTRA DE DIMENSÕES 45X45 CM APLICADA EM AMBIENTES DE ÁREA ENTRE 5 M2 E 10 M2. AF_02/2023_PE</t>
  </si>
  <si>
    <t>7.6.7</t>
  </si>
  <si>
    <t>7.6.8</t>
  </si>
  <si>
    <t>7.6.9</t>
  </si>
  <si>
    <t>7.7</t>
  </si>
  <si>
    <t>7.7.1</t>
  </si>
  <si>
    <t>7.7.2</t>
  </si>
  <si>
    <t>7.7.3</t>
  </si>
  <si>
    <t>7.7.4</t>
  </si>
  <si>
    <t>7.7.5</t>
  </si>
  <si>
    <t>7.7.6</t>
  </si>
  <si>
    <t>7.8</t>
  </si>
  <si>
    <t>7.8.1</t>
  </si>
  <si>
    <t>7.9</t>
  </si>
  <si>
    <t>7.9.1</t>
  </si>
  <si>
    <t>P1</t>
  </si>
  <si>
    <t>7.9.2</t>
  </si>
  <si>
    <t>J5</t>
  </si>
  <si>
    <t>7.9.3</t>
  </si>
  <si>
    <t>7.9.4</t>
  </si>
  <si>
    <t>7.9.5</t>
  </si>
  <si>
    <t>7.10</t>
  </si>
  <si>
    <t>7.10.1</t>
  </si>
  <si>
    <t>7.10.2</t>
  </si>
  <si>
    <t>7.10.3</t>
  </si>
  <si>
    <t>7.10.4</t>
  </si>
  <si>
    <t>7.10.5</t>
  </si>
  <si>
    <t>7.10.6</t>
  </si>
  <si>
    <t>7.10.7</t>
  </si>
  <si>
    <t>PORTA 8</t>
  </si>
  <si>
    <t>7.11</t>
  </si>
  <si>
    <t>7.11.1</t>
  </si>
  <si>
    <t>7.11.2</t>
  </si>
  <si>
    <t>7.11.3</t>
  </si>
  <si>
    <t>7.11.4</t>
  </si>
  <si>
    <t>7.11.5</t>
  </si>
  <si>
    <t>7.11.6</t>
  </si>
  <si>
    <t>CABO DE COBRE FLEXÍVEL ISOLADO, 25 MM², ANTI-CHAMA 0,6/1,0 KV, PARA REDE ENTERRADA DE DISTRIBUIÇÃO DE ENERGIA ELÉTRICA - FORNECIMENTO E INSTALAÇÃO. AF_12/2021</t>
  </si>
  <si>
    <t>7.11.7</t>
  </si>
  <si>
    <t>7.11.8</t>
  </si>
  <si>
    <t>CABO DE COBRE FLEXÍVEL ISOLADO, 70 MM², ANTI-CHAMA 0,6/1,0 KV, PARA REDE ENTERRADA DE DISTRIBUIÇÃO DE ENERGIA ELÉTRICA - FORNECIMENTO E INSTALAÇÃO. AF_12/2021</t>
  </si>
  <si>
    <t>7.11.9</t>
  </si>
  <si>
    <t>CABO DE COBRE FLEXÍVEL ISOLADO, 150 MM², ANTI-CHAMA 0,6/1,0 KV, PARA REDE ENTERRADA DE DISTRIBUIÇÃO DE ENERGIA ELÉTRICA - FORNECIMENTO E INSTALAÇÃO. AF_12/2021</t>
  </si>
  <si>
    <t>7.11.10</t>
  </si>
  <si>
    <t>7.11.11</t>
  </si>
  <si>
    <t>7.11.12</t>
  </si>
  <si>
    <t>7.11.13</t>
  </si>
  <si>
    <t>7.11.14</t>
  </si>
  <si>
    <t>7.11.15</t>
  </si>
  <si>
    <t>7.11.16</t>
  </si>
  <si>
    <t>7.11.17</t>
  </si>
  <si>
    <t>7.11.18</t>
  </si>
  <si>
    <t xml:space="preserve"> 04.03.206 </t>
  </si>
  <si>
    <t>FORNECIMENTO E INSTALAÇÃO DE ELETROCALHA METÁLICA 100 X 100 X 3000 MM</t>
  </si>
  <si>
    <t>7.11.19</t>
  </si>
  <si>
    <t>7.11.20</t>
  </si>
  <si>
    <t>7.11.21</t>
  </si>
  <si>
    <t>7.11.22</t>
  </si>
  <si>
    <t>7.11.23</t>
  </si>
  <si>
    <t>7.11.24</t>
  </si>
  <si>
    <t>7.11.25</t>
  </si>
  <si>
    <t>7.11.26</t>
  </si>
  <si>
    <t>7.11.27</t>
  </si>
  <si>
    <t>7.11.28</t>
  </si>
  <si>
    <t>QUADRO DE DISTRIBUIÇÃO DE ENERGIA EM PVC, DE EMBUTIR, SEM BARRAMENTO, PARA 6 DISJUNTORES - FORNECIMENTO E INSTALAÇÃO. AF_10/2020</t>
  </si>
  <si>
    <t>7.11.29</t>
  </si>
  <si>
    <t>7.11.30</t>
  </si>
  <si>
    <t>7.11.31</t>
  </si>
  <si>
    <t>TOMADA BAIXA DE EMBUTIR (3 MÓDULOS), 2P+T 10 A, INCLUINDO SUPORTE E PLACA - FORNECIMENTO E INSTALAÇÃO. AF_03/2023</t>
  </si>
  <si>
    <t>7.11.32</t>
  </si>
  <si>
    <t>7.11.33</t>
  </si>
  <si>
    <t>7.11.34</t>
  </si>
  <si>
    <t>7.11.35</t>
  </si>
  <si>
    <t xml:space="preserve"> 04.03.533 </t>
  </si>
  <si>
    <t>DISJUNTOR CAIXA MOLDADA TRIPOLAR 150A</t>
  </si>
  <si>
    <t>7.11.36</t>
  </si>
  <si>
    <t>7.11.37</t>
  </si>
  <si>
    <t xml:space="preserve"> 04.03.535 </t>
  </si>
  <si>
    <t>DISJUNTOR CAIXA MOLDADA TRIPOLAR 320A</t>
  </si>
  <si>
    <t>7.11.38</t>
  </si>
  <si>
    <t>7.11.39</t>
  </si>
  <si>
    <t>7.11.40</t>
  </si>
  <si>
    <t xml:space="preserve"> 04.03.545 </t>
  </si>
  <si>
    <t>DPS MONOPOLAR CLASSE I 275V</t>
  </si>
  <si>
    <t>7.11.41</t>
  </si>
  <si>
    <t>7.11.42</t>
  </si>
  <si>
    <t>7.11.43</t>
  </si>
  <si>
    <t>7.11.44</t>
  </si>
  <si>
    <t xml:space="preserve"> 04.03.600 </t>
  </si>
  <si>
    <t>QUADRO DE DISTRIBUIÇÃO SOBREPOR, CORPO EM CHAPA DE AÇO P/ 14 DISJUNTORES</t>
  </si>
  <si>
    <t>7.11.45</t>
  </si>
  <si>
    <t>7.12</t>
  </si>
  <si>
    <t>7.12.1</t>
  </si>
  <si>
    <t>7.12.1.1</t>
  </si>
  <si>
    <t>7.12.1.2</t>
  </si>
  <si>
    <t>7.12.1.3</t>
  </si>
  <si>
    <t>7.12.1.4</t>
  </si>
  <si>
    <t>7.12.1.5</t>
  </si>
  <si>
    <t>7.12.1.6</t>
  </si>
  <si>
    <t>7.12.1.7</t>
  </si>
  <si>
    <t>7.12.1.8</t>
  </si>
  <si>
    <t>7.12.1.9</t>
  </si>
  <si>
    <t>7.12.1.10</t>
  </si>
  <si>
    <t>7.12.2</t>
  </si>
  <si>
    <t>7.12.2.1</t>
  </si>
  <si>
    <t>7.12.2.2</t>
  </si>
  <si>
    <t>7.12.2.3</t>
  </si>
  <si>
    <t>7.12.2.4</t>
  </si>
  <si>
    <t>7.12.2.5</t>
  </si>
  <si>
    <t>7.12.2.6</t>
  </si>
  <si>
    <t>7.12.2.7</t>
  </si>
  <si>
    <t>7.12.2.8</t>
  </si>
  <si>
    <t>7.12.2.9</t>
  </si>
  <si>
    <t>7.12.2.10</t>
  </si>
  <si>
    <t>7.12.2.11</t>
  </si>
  <si>
    <t>7.12.2.12</t>
  </si>
  <si>
    <t>7.12.2.13</t>
  </si>
  <si>
    <t>7.12.2.14</t>
  </si>
  <si>
    <t>7.12.2.15</t>
  </si>
  <si>
    <t>7.12.2.16</t>
  </si>
  <si>
    <t>7.12.2.17</t>
  </si>
  <si>
    <t>7.12.2.18</t>
  </si>
  <si>
    <t>7.12.2.19</t>
  </si>
  <si>
    <t>CAIXA DE INSPEÇÃO EM ALVENARIA DE TIJOLO MACIÇO 60X60X60CM COM GRELHA DE FERRO FUNDIDO SIMPLES COM REQUADRO, 600 X 600 MM _ FORNECIMENTO E INSTALAÇÃO</t>
  </si>
  <si>
    <t>7.12.3</t>
  </si>
  <si>
    <t>7.12.3.1</t>
  </si>
  <si>
    <t>7.12.3.2</t>
  </si>
  <si>
    <t>7.12.3.3</t>
  </si>
  <si>
    <t>7.12.3.4</t>
  </si>
  <si>
    <t>7.12.3.5</t>
  </si>
  <si>
    <t>7.12.3.6</t>
  </si>
  <si>
    <t>7.12.3.7</t>
  </si>
  <si>
    <t>7.12.3.8</t>
  </si>
  <si>
    <t>7.12.3.9</t>
  </si>
  <si>
    <t>7.12.3.10</t>
  </si>
  <si>
    <t>7.12.3.11</t>
  </si>
  <si>
    <t>7.12.3.12</t>
  </si>
  <si>
    <t>7.12.4</t>
  </si>
  <si>
    <t>7.12.4.1</t>
  </si>
  <si>
    <t>7.12.4.2</t>
  </si>
  <si>
    <t>7.12.4.3</t>
  </si>
  <si>
    <t>7.12.4.4</t>
  </si>
  <si>
    <t>7.12.4.5</t>
  </si>
  <si>
    <t>7.12.4.6</t>
  </si>
  <si>
    <t>7.12.4.7</t>
  </si>
  <si>
    <t>7.12.4.8</t>
  </si>
  <si>
    <t>7.12.4.9</t>
  </si>
  <si>
    <t>7.12.4.10</t>
  </si>
  <si>
    <t>7.12.4.11</t>
  </si>
  <si>
    <t>7.12.4.12</t>
  </si>
  <si>
    <t>7.12.4.13</t>
  </si>
  <si>
    <t>7.13</t>
  </si>
  <si>
    <t>7.13.1</t>
  </si>
  <si>
    <t>7.13.2</t>
  </si>
  <si>
    <t>7.13.3</t>
  </si>
  <si>
    <t>7.13.4</t>
  </si>
  <si>
    <t>7.13.5</t>
  </si>
  <si>
    <t>7.13.6</t>
  </si>
  <si>
    <t>7.14</t>
  </si>
  <si>
    <t>7.14.1</t>
  </si>
  <si>
    <t>7.14.2</t>
  </si>
  <si>
    <t>7.14.3</t>
  </si>
  <si>
    <t>7.14.4</t>
  </si>
  <si>
    <t>ESCAVAÇÃO MANUAL DE VALA COM PROFUNDIDADE MENOR OU IGUAL A 1,30 M. AF_02/2021</t>
  </si>
  <si>
    <t>7.14.5</t>
  </si>
  <si>
    <t>ATERRO MECANIZADO DE VALA COM ESCAVADEIRA HIDRÁULICA (CAPACIDADE DA CAÇAMBA: 0,8 M³ / POTÊNCIA: 111 HP), LARGURA ATÉ 2,5 M, PROFUNDIDADE ATÉ 1,5 M, COM SOLO ARGILO-ARENOSO. AF_08/2023</t>
  </si>
  <si>
    <t>7.14.6</t>
  </si>
  <si>
    <t>7.14.7</t>
  </si>
  <si>
    <t>CABO TELEFÔNICO CI-50 50 PARES INSTALADO EM PRUMADA - FORNECIMENTO E INSTALAÇÃO. AF_11/2019</t>
  </si>
  <si>
    <t>7.14.8</t>
  </si>
  <si>
    <t>CABO TELEFÔNICO CTP-APL-50 20 PARES INSTALADO EM ENTRADA DE EDIFICAÇÃO - FORNECIMENTO E INSTALAÇÃO. AF_11/2019</t>
  </si>
  <si>
    <t>7.14.9</t>
  </si>
  <si>
    <t xml:space="preserve"> 91868 </t>
  </si>
  <si>
    <t>ELETRODUTO RÍGIDO ROSCÁVEL, PVC, DN 32 MM (1"), PARA CIRCUITOS TERMINAIS, INSTALADO EM LAJE - FORNECIMENTO E INSTALAÇÃO. AF_03/2023</t>
  </si>
  <si>
    <t>7.14.10</t>
  </si>
  <si>
    <t>7.14.11</t>
  </si>
  <si>
    <t>7.14.12</t>
  </si>
  <si>
    <t>7.14.13</t>
  </si>
  <si>
    <t>7.14.14</t>
  </si>
  <si>
    <t>7.14.15</t>
  </si>
  <si>
    <t>7.14.16</t>
  </si>
  <si>
    <t>7.14.17</t>
  </si>
  <si>
    <t>7.14.18</t>
  </si>
  <si>
    <t>7.14.19</t>
  </si>
  <si>
    <t>7.14.20</t>
  </si>
  <si>
    <t xml:space="preserve"> 04.03.285 </t>
  </si>
  <si>
    <t>DUTO ESPIRAL FLEXIVEL SINGELO PEAD D=75MM(3") REVESTIDO COM PVC COM FIO GUIA DE ACO GALVANIZADO, LANCADO DIRETO NO SOLO, INCL CONEXOES</t>
  </si>
  <si>
    <t>7.14.21</t>
  </si>
  <si>
    <t>7.14.22</t>
  </si>
  <si>
    <t xml:space="preserve"> 04.03.601 </t>
  </si>
  <si>
    <t>RACK FECHADO ENTERPRISE - 12U X 600MM X 600MM</t>
  </si>
  <si>
    <t>7.14.23</t>
  </si>
  <si>
    <t>7.14.24</t>
  </si>
  <si>
    <t>7.14.25</t>
  </si>
  <si>
    <t>7.14.26</t>
  </si>
  <si>
    <t>7.14.27</t>
  </si>
  <si>
    <t xml:space="preserve"> 04.03.338 </t>
  </si>
  <si>
    <t>PATCH CORD 2,50M</t>
  </si>
  <si>
    <t>7.14.28</t>
  </si>
  <si>
    <t xml:space="preserve"> 04.03.521 </t>
  </si>
  <si>
    <t>CONECTOR MACHO RJ - 45, CATEGORIA 6</t>
  </si>
  <si>
    <t>7.14.29</t>
  </si>
  <si>
    <t>7.14.30</t>
  </si>
  <si>
    <t xml:space="preserve"> 04.03.342 </t>
  </si>
  <si>
    <t>TOMADAS TIPO RÉGUA P/ RACK</t>
  </si>
  <si>
    <t>7.14.31</t>
  </si>
  <si>
    <t xml:space="preserve"> 04.03.553 </t>
  </si>
  <si>
    <t>FORNECIMENTO E INSTALAÇÃO DE BLOCO IDC-100 PARES INTERNO, IDC-IDC, PADRÃO 19"</t>
  </si>
  <si>
    <t>7.14.32</t>
  </si>
  <si>
    <t xml:space="preserve"> 04.03.555 </t>
  </si>
  <si>
    <t>FORNECIMENTO E INSTALAÇÃO DE VOICE PAINEL VOICE PANEL 50 PORTAS - CAT.3</t>
  </si>
  <si>
    <t>7.14.33</t>
  </si>
  <si>
    <t xml:space="preserve"> 04.03.506 </t>
  </si>
  <si>
    <t>CENTRAL PABX HÍBRIDA, CAPACIDADE 16 LINHAS E 40 RAMAIS, MOD. IMPACTA 94, INTELBRÁS OU SIMILAR</t>
  </si>
  <si>
    <t>7.14.34</t>
  </si>
  <si>
    <t>7.14.35</t>
  </si>
  <si>
    <t>7.14.36</t>
  </si>
  <si>
    <t>7.14.37</t>
  </si>
  <si>
    <t xml:space="preserve"> 04.03.636 </t>
  </si>
  <si>
    <t>SWITCHER AUTO-GERENCIÁVEL P/ COMUNICACÃO DE DADOS COM 24 PORTAS EM CONECTORES RJ 45, 10/100 KBPS E DUAS PORTAS 10/100/1000 KBPS - PADRÃO RACK 19" -(POE)</t>
  </si>
  <si>
    <t>7.14.38</t>
  </si>
  <si>
    <t xml:space="preserve"> 04.03.356 </t>
  </si>
  <si>
    <t>HD 10 TB - PARA CFTV</t>
  </si>
  <si>
    <t>7.14.39</t>
  </si>
  <si>
    <t xml:space="preserve"> 04.03.501 </t>
  </si>
  <si>
    <t>CAIXA TIPO R2</t>
  </si>
  <si>
    <t>7.14.40</t>
  </si>
  <si>
    <t xml:space="preserve"> 04.03.554 </t>
  </si>
  <si>
    <t>ELETROCALHA METÁLICA PERFURADA 150 X 100 X 3000MM</t>
  </si>
  <si>
    <t>7.14.41</t>
  </si>
  <si>
    <t xml:space="preserve"> 04.03.452 </t>
  </si>
  <si>
    <t>ACESSÓRIOS PARA ELETROCALHA SAÍDA DUPLA PARA ELETRODUTO</t>
  </si>
  <si>
    <t>7.14.42</t>
  </si>
  <si>
    <t xml:space="preserve"> 04.03.528 </t>
  </si>
  <si>
    <t>CURVA VERTICAL INTERNA 45° 150X50MM CHAPA 18</t>
  </si>
  <si>
    <t>7.14.43</t>
  </si>
  <si>
    <t xml:space="preserve"> 04.03.529 </t>
  </si>
  <si>
    <t>CURVA VERTICAL INTERNA 90° 150X50MM CHAPA 18</t>
  </si>
  <si>
    <t>7.14.44</t>
  </si>
  <si>
    <t xml:space="preserve"> 04.03.530 </t>
  </si>
  <si>
    <t>7.14.45</t>
  </si>
  <si>
    <t xml:space="preserve"> 04.03.548 </t>
  </si>
  <si>
    <t>7.14.46</t>
  </si>
  <si>
    <t xml:space="preserve"> 04.03.637 </t>
  </si>
  <si>
    <t>REDUÇÃO CONCÊNTRICA - 100X50X50MM CHAPA 18</t>
  </si>
  <si>
    <t>7.14.47</t>
  </si>
  <si>
    <t xml:space="preserve"> 04.03.638 </t>
  </si>
  <si>
    <t>SUPORTE VERTICAL 150MM</t>
  </si>
  <si>
    <t>7.14.48</t>
  </si>
  <si>
    <t xml:space="preserve"> 04.03.621 </t>
  </si>
  <si>
    <t>7.14.49</t>
  </si>
  <si>
    <t>04.03.613</t>
  </si>
  <si>
    <t>7.14.50</t>
  </si>
  <si>
    <t>7.14.51</t>
  </si>
  <si>
    <t xml:space="preserve"> 04.03.344 </t>
  </si>
  <si>
    <t>FORNECIMENTO E INSTALAÇÃO DE DISTRIBUIDOR INTERNO OPTICO - D.I.O A270 OU SIMILAR, INCLUSIVE BANDEJA, SUPORTE DE ADAPTADORES, EXTENSÃO OPTICA E CORDÃO DUPLEX</t>
  </si>
  <si>
    <t>7.14.52</t>
  </si>
  <si>
    <t xml:space="preserve"> CABOS FAST-CIT 50X 50 50 PARES</t>
  </si>
  <si>
    <t>7.14.53</t>
  </si>
  <si>
    <t>04.03.746</t>
  </si>
  <si>
    <t>Gotejador 150x50mm</t>
  </si>
  <si>
    <t>7.14.54</t>
  </si>
  <si>
    <t>Gotejador 50x50mm</t>
  </si>
  <si>
    <t>7.14.55</t>
  </si>
  <si>
    <t>04.03.760</t>
  </si>
  <si>
    <t>T horizontal 90° 150x50mm</t>
  </si>
  <si>
    <t>7.14.56</t>
  </si>
  <si>
    <t>7.14.57</t>
  </si>
  <si>
    <t>04.03.711</t>
  </si>
  <si>
    <t xml:space="preserve">PLACA CEGA 4X4" </t>
  </si>
  <si>
    <t>7.14.58</t>
  </si>
  <si>
    <t>04.03.288</t>
  </si>
  <si>
    <t>QUADRO DE AUTOMAÇÃO DE CONTROLE DE EQUIPAMENTOS</t>
  </si>
  <si>
    <t>7.15</t>
  </si>
  <si>
    <t>7.15.1</t>
  </si>
  <si>
    <t>7.15.2</t>
  </si>
  <si>
    <t>7.15.3</t>
  </si>
  <si>
    <t>7.15.4</t>
  </si>
  <si>
    <t>7.15.5</t>
  </si>
  <si>
    <t>7.15.6</t>
  </si>
  <si>
    <t>7.15.7</t>
  </si>
  <si>
    <t>7.15.8</t>
  </si>
  <si>
    <t>7.15.9</t>
  </si>
  <si>
    <t>7.15.10</t>
  </si>
  <si>
    <t>7.15.11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</si>
  <si>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</si>
  <si>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</si>
  <si>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</si>
  <si>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</si>
  <si>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</si>
  <si>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</si>
  <si>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</si>
  <si>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</si>
  <si>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</si>
  <si>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</si>
  <si>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</si>
  <si>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</si>
  <si>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8.2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</si>
  <si>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</si>
  <si>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</si>
  <si>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</si>
  <si>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</si>
  <si>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</si>
  <si>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</si>
  <si>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</si>
  <si>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</si>
  <si>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</si>
  <si>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</si>
  <si>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</si>
  <si>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RESERVATORIO</t>
  </si>
  <si>
    <t>8.3</t>
  </si>
  <si>
    <t>8.3.1</t>
  </si>
  <si>
    <t>CASA DE BOMBA</t>
  </si>
  <si>
    <t>8.3.2</t>
  </si>
  <si>
    <t>VERGA PRÉ-MOLDADA PARA PORTAS COM ATÉ 1,5 M DE VÃO. AF_03/2016</t>
  </si>
  <si>
    <t>8.4</t>
  </si>
  <si>
    <t>8.4.1</t>
  </si>
  <si>
    <t>RESERVATORIO SUPERIOR PISO</t>
  </si>
  <si>
    <t>RESERVATORIO SUPERIOR TETO</t>
  </si>
  <si>
    <t>RESERVATORIO SUPERIOR PAREDE</t>
  </si>
  <si>
    <t>8.4.2</t>
  </si>
  <si>
    <t>CASA DE BOMBA - PAREDE</t>
  </si>
  <si>
    <t>8.4.3</t>
  </si>
  <si>
    <t>8.4.4</t>
  </si>
  <si>
    <t>8.5</t>
  </si>
  <si>
    <t>8.5.1</t>
  </si>
  <si>
    <t>8.5.2</t>
  </si>
  <si>
    <t>8.5.3</t>
  </si>
  <si>
    <t>8.5.4</t>
  </si>
  <si>
    <t>8.5.5</t>
  </si>
  <si>
    <t>8.6</t>
  </si>
  <si>
    <t>8.6.1</t>
  </si>
  <si>
    <t>CASA DE BOMBAS</t>
  </si>
  <si>
    <t>8.6.2</t>
  </si>
  <si>
    <t>8.6.3</t>
  </si>
  <si>
    <t>8.6.4</t>
  </si>
  <si>
    <t>8.7</t>
  </si>
  <si>
    <t>8.7.1</t>
  </si>
  <si>
    <t>8.8</t>
  </si>
  <si>
    <t>8.11.1</t>
  </si>
  <si>
    <t>8.11.2</t>
  </si>
  <si>
    <t>8.11.3</t>
  </si>
  <si>
    <t>8.11.4</t>
  </si>
  <si>
    <t>8.11.5</t>
  </si>
  <si>
    <t>8.11.6</t>
  </si>
  <si>
    <t>8.11.7</t>
  </si>
  <si>
    <t>8.11.8</t>
  </si>
  <si>
    <t>8.11.9</t>
  </si>
  <si>
    <t>8.11.10</t>
  </si>
  <si>
    <t>8.11.11</t>
  </si>
  <si>
    <t>8.11.12</t>
  </si>
  <si>
    <t>8.11.13</t>
  </si>
  <si>
    <t>8.11.14</t>
  </si>
  <si>
    <t>8.11.15</t>
  </si>
  <si>
    <t>8.11.16</t>
  </si>
  <si>
    <t>8.11.17</t>
  </si>
  <si>
    <t>8.11.18</t>
  </si>
  <si>
    <t>8.11.19</t>
  </si>
  <si>
    <t>8.11.20</t>
  </si>
  <si>
    <t>8.11.21</t>
  </si>
  <si>
    <t>8.11.22</t>
  </si>
  <si>
    <t>8.11.23</t>
  </si>
  <si>
    <t>8.11.24</t>
  </si>
  <si>
    <t>8.11.25</t>
  </si>
  <si>
    <t xml:space="preserve"> 04.03.547 </t>
  </si>
  <si>
    <t>8.11.26</t>
  </si>
  <si>
    <t>8.11.27</t>
  </si>
  <si>
    <t>8.11.28</t>
  </si>
  <si>
    <t xml:space="preserve"> 04.03.207 </t>
  </si>
  <si>
    <t>FORNECIMENTO E INSTALAÇÃO DE ELETROCALHA METÁLICA 50 X 50 X 3000 MM</t>
  </si>
  <si>
    <t>8.11.29</t>
  </si>
  <si>
    <t>8.11.30</t>
  </si>
  <si>
    <t>8.11.31</t>
  </si>
  <si>
    <t>8.11.32</t>
  </si>
  <si>
    <t>8.11.33</t>
  </si>
  <si>
    <t>ELETRODUTO RÍGIDO SOLDÁVEL, PVC, DN 25 MM (3/4), APARENTE - FORNECIMENTO E INSTALAÇÃO. AF_10/2022_PA</t>
  </si>
  <si>
    <t>8.11.34</t>
  </si>
  <si>
    <t>04.03.740</t>
  </si>
  <si>
    <t>ELETRODUTO CORRUGADO PEAD 1"</t>
  </si>
  <si>
    <t>8.11.35</t>
  </si>
  <si>
    <t>04.03.682</t>
  </si>
  <si>
    <t>8.11.36</t>
  </si>
  <si>
    <t>RELÉ FOTOELÉTRICO PARA COMANDO DE ILUMINAÇÃO EXTERNA 1000 W - FORNECIMENTO E INSTALAÇÃO. AF_08/2020</t>
  </si>
  <si>
    <t>8.11.37</t>
  </si>
  <si>
    <t>CAIXA ENTERRADA HIDRÁULICA RETANGULAR EM ALVENARIA COM TIJOLOS CERÂMICOS MACIÇOS, DIMENSÕES INTERNAS: 0,3X0,3X0,3 M PARA REDE DE DRENAGEM. AF_12/2020</t>
  </si>
  <si>
    <t>8.9</t>
  </si>
  <si>
    <t>8.9.1</t>
  </si>
  <si>
    <t>8.9.1.1</t>
  </si>
  <si>
    <t>8.9.1.2</t>
  </si>
  <si>
    <t>8.9.1.3</t>
  </si>
  <si>
    <t>8.9.1.4</t>
  </si>
  <si>
    <t>8.9.1.5</t>
  </si>
  <si>
    <t>8.9.1.6</t>
  </si>
  <si>
    <t>8.9.1.7</t>
  </si>
  <si>
    <t>8.9.1.8</t>
  </si>
  <si>
    <t>BUCHA DE REDUÇÃO, CURTA, PVC, SOLDÁVEL, DN 50 X 40 MM, INSTALADO EM PRUMADA DE ÁGUA - FORNECIMENTO E INSTALAÇÃO. AF_06/2022</t>
  </si>
  <si>
    <t>8.9.1.9</t>
  </si>
  <si>
    <t>8.9.1.10</t>
  </si>
  <si>
    <t>8.9.1.11</t>
  </si>
  <si>
    <t>8.9.1.12</t>
  </si>
  <si>
    <t>8.9.1.13</t>
  </si>
  <si>
    <t>8.9.1.14</t>
  </si>
  <si>
    <t>8.9.1.15</t>
  </si>
  <si>
    <t>8.9.1.16</t>
  </si>
  <si>
    <t>8.9.1.17</t>
  </si>
  <si>
    <t>8.9.1.18</t>
  </si>
  <si>
    <t>8.11</t>
  </si>
  <si>
    <t>8.14.1</t>
  </si>
  <si>
    <t>8.14.2</t>
  </si>
  <si>
    <t>8.14.3</t>
  </si>
  <si>
    <t>8.14.4</t>
  </si>
  <si>
    <t>8.14.5</t>
  </si>
  <si>
    <t>8.14.6</t>
  </si>
  <si>
    <t>8.14.7</t>
  </si>
  <si>
    <t>8.14.8</t>
  </si>
  <si>
    <t>8.14.9</t>
  </si>
  <si>
    <t>8.14.10</t>
  </si>
  <si>
    <t>8.14.11</t>
  </si>
  <si>
    <t>8.14.12</t>
  </si>
  <si>
    <t>8.14.13</t>
  </si>
  <si>
    <t xml:space="preserve"> 04.03.500 </t>
  </si>
  <si>
    <t>8.14.14</t>
  </si>
  <si>
    <t>8.14.15</t>
  </si>
  <si>
    <t>8.14.16</t>
  </si>
  <si>
    <t>8.14.17</t>
  </si>
  <si>
    <t>8.14.18</t>
  </si>
  <si>
    <t>8.14.19</t>
  </si>
  <si>
    <t>8.14.20</t>
  </si>
  <si>
    <t>8.14.21</t>
  </si>
  <si>
    <t>8.14.22</t>
  </si>
  <si>
    <t>8.14.23</t>
  </si>
  <si>
    <t>8.14.24</t>
  </si>
  <si>
    <t xml:space="preserve"> 04.03.619 </t>
  </si>
  <si>
    <t>8.14.25</t>
  </si>
  <si>
    <t>8.14.26</t>
  </si>
  <si>
    <t>8.14.27</t>
  </si>
  <si>
    <t>8.14.28</t>
  </si>
  <si>
    <t>8.14.29</t>
  </si>
  <si>
    <t xml:space="preserve"> 04.03.524 </t>
  </si>
  <si>
    <t>8.14.30</t>
  </si>
  <si>
    <t>8.14.31</t>
  </si>
  <si>
    <t>8.14.32</t>
  </si>
  <si>
    <t>8.14.33</t>
  </si>
  <si>
    <t>8.14.34</t>
  </si>
  <si>
    <t>8.14.35</t>
  </si>
  <si>
    <t xml:space="preserve"> 04.03.652 </t>
  </si>
  <si>
    <t>8.14.36</t>
  </si>
  <si>
    <t>8.14.37</t>
  </si>
  <si>
    <t>8.14.38</t>
  </si>
  <si>
    <t>04.03.532</t>
  </si>
  <si>
    <t>8.14.39</t>
  </si>
  <si>
    <t xml:space="preserve">PLACA CEGA  4X4” </t>
  </si>
  <si>
    <t>8.14.40</t>
  </si>
  <si>
    <t>8.14.41</t>
  </si>
  <si>
    <t>8.14.42</t>
  </si>
  <si>
    <t>8.14.43</t>
  </si>
  <si>
    <t>04.03.612</t>
  </si>
  <si>
    <t>8.14.44</t>
  </si>
  <si>
    <t>8.14.45</t>
  </si>
  <si>
    <t>04.03.762</t>
  </si>
  <si>
    <t>TAMPA P/ T HORIZONTAL 90º - 100MM CHAPA 18</t>
  </si>
  <si>
    <t>8.14.46</t>
  </si>
  <si>
    <t>04.03.715</t>
  </si>
  <si>
    <t>REDUÇÃO EXCÊNTRICA - 100MMX50MM</t>
  </si>
  <si>
    <t>8.14.47</t>
  </si>
  <si>
    <t>CURVA 180 GRAUS PARA ELETRODUTO, PVC, ROSCÁVEL, DN 40 MM (1 1/4"), PARA CIRCUITOS TERMINAIS, INSTALADA EM FORRO - FORNECIMENTO E INSTALAÇÃO. AF_03/2023</t>
  </si>
  <si>
    <t>9.1</t>
  </si>
  <si>
    <t>9.1.1</t>
  </si>
  <si>
    <t>GUARITA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</si>
  <si>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</si>
  <si>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</si>
  <si>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</si>
  <si>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</si>
  <si>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</si>
  <si>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</si>
  <si>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</si>
  <si>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</si>
  <si>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</si>
  <si>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VIGA BALDRAME GUARITA</t>
  </si>
  <si>
    <t>VIGA BALDRAME CASA DE BOMBA</t>
  </si>
  <si>
    <t>VIGA BALDRAME LIXEIRA</t>
  </si>
  <si>
    <t>VIGA BALDRAME GLP</t>
  </si>
  <si>
    <t>9.1.11</t>
  </si>
  <si>
    <t>9.1.12</t>
  </si>
  <si>
    <t>CASA DE BOMBA VIGA BALDRAME</t>
  </si>
  <si>
    <t>9.1.13</t>
  </si>
  <si>
    <t>GUARITA - PILAR</t>
  </si>
  <si>
    <t>CASA DE BOMBA - PILAR</t>
  </si>
  <si>
    <t>LIXEIRA - PILAR</t>
  </si>
  <si>
    <t>GLP - PILAR</t>
  </si>
  <si>
    <t>9.1.14</t>
  </si>
  <si>
    <t>9.1.15</t>
  </si>
  <si>
    <t>9.1.16</t>
  </si>
  <si>
    <t>9.1.17</t>
  </si>
  <si>
    <t>9.1.18</t>
  </si>
  <si>
    <t>9.1.19</t>
  </si>
  <si>
    <t>ARMAÇÃO DO SISTEMA DE PAREDES DE CONCRETO, EXECUTADA COMO REFORÇO, VERGALHÃO DE 6,3 MM DE DIÂMETRO. AF_06/2019</t>
  </si>
  <si>
    <t>9.1.20</t>
  </si>
  <si>
    <t>ARMAÇÃO DO SISTEMA DE PAREDES DE CONCRETO, EXECUTADA COMO REFORÇO, VERGALHÃO DE 8,0 MM DE DIÂMETRO. AF_06/2019</t>
  </si>
  <si>
    <t>9.1.21</t>
  </si>
  <si>
    <t>ARMAÇÃO DO SISTEMA DE PAREDES DE CONCRETO, EXECUTADA COMO REFORÇO, VERGALHÃO DE 10,0 MM DE DIÂMETRO. AF_06/2019</t>
  </si>
  <si>
    <t>9.1.22</t>
  </si>
  <si>
    <t>9.1.23</t>
  </si>
  <si>
    <t>9.1.24</t>
  </si>
  <si>
    <t>GUARITA SAPATA</t>
  </si>
  <si>
    <t>GUARITA VIGA BALDRAME</t>
  </si>
  <si>
    <t>CASA DE BOMBA SAPATA</t>
  </si>
  <si>
    <t>LIXEIRA SAPATA</t>
  </si>
  <si>
    <t>LIXEIRA VIGA BALDRAME</t>
  </si>
  <si>
    <t>GLP SAPATA</t>
  </si>
  <si>
    <t>GLP VIGA BALDRAME</t>
  </si>
  <si>
    <t>9.1.25</t>
  </si>
  <si>
    <t>9.1.26</t>
  </si>
  <si>
    <t>9.1.27</t>
  </si>
  <si>
    <t>CASA DE BOMBA ESCADA</t>
  </si>
  <si>
    <t>9.1.28</t>
  </si>
  <si>
    <t>9.1.29</t>
  </si>
  <si>
    <t>Escavação em material de 3ª categoria</t>
  </si>
  <si>
    <t>9.1.30</t>
  </si>
  <si>
    <t>Concreto para bombeamento fck = 40 MPa - confecção em central dosadora de 40 m³/h - areia e brita comerciais</t>
  </si>
  <si>
    <t>9.1.31</t>
  </si>
  <si>
    <t>9.2</t>
  </si>
  <si>
    <t>9.2.1</t>
  </si>
  <si>
    <t>PILARES GUARITA</t>
  </si>
  <si>
    <t>VIGA GUARITA</t>
  </si>
  <si>
    <t>PILARES CASA DE BOMBA</t>
  </si>
  <si>
    <t>VIGA CASA DE BOMBA</t>
  </si>
  <si>
    <t>PILARES LIXEIRA</t>
  </si>
  <si>
    <t>VIGA LIXEIRA</t>
  </si>
  <si>
    <t>PILARES GLP</t>
  </si>
  <si>
    <t>VIGA GLP</t>
  </si>
  <si>
    <t>9.2.2</t>
  </si>
  <si>
    <t>VIGAS GUARITA</t>
  </si>
  <si>
    <t>VIGAS CASA DE BOMBA</t>
  </si>
  <si>
    <t>VIGAS LIXEIRA</t>
  </si>
  <si>
    <t>9.2.3</t>
  </si>
  <si>
    <t>9.2.4</t>
  </si>
  <si>
    <t>9.2.5</t>
  </si>
  <si>
    <t>9.2.6</t>
  </si>
  <si>
    <t>9.2.7</t>
  </si>
  <si>
    <t>LAJE CASA DE BOMBA</t>
  </si>
  <si>
    <t>LAJE GLP</t>
  </si>
  <si>
    <t>9.2.8</t>
  </si>
  <si>
    <t>9.2.9</t>
  </si>
  <si>
    <t>LAJE GUARITA</t>
  </si>
  <si>
    <t>9.2.10</t>
  </si>
  <si>
    <t>PILAR GUARITA</t>
  </si>
  <si>
    <t>PILAR CASA DE BOMBA</t>
  </si>
  <si>
    <t>PILAR LIXEIRA</t>
  </si>
  <si>
    <t>PILAR GLP</t>
  </si>
  <si>
    <t>9.2.11</t>
  </si>
  <si>
    <t>9.2.12</t>
  </si>
  <si>
    <t>9.2.13</t>
  </si>
  <si>
    <t>LAJE LIXEIRA</t>
  </si>
  <si>
    <t>9.3</t>
  </si>
  <si>
    <t>9.3.1</t>
  </si>
  <si>
    <t>BANHEIRO GUARITA</t>
  </si>
  <si>
    <t>SALA TÉCNICA GUARITA</t>
  </si>
  <si>
    <t>CASA DE BOMBA GERAL</t>
  </si>
  <si>
    <t>CASA DE BOMBA GERAL - VÃO</t>
  </si>
  <si>
    <t>9.3.2</t>
  </si>
  <si>
    <t>PF4</t>
  </si>
  <si>
    <t>PF3</t>
  </si>
  <si>
    <t>P2</t>
  </si>
  <si>
    <t>PF6</t>
  </si>
  <si>
    <t>J1</t>
  </si>
  <si>
    <t>9.3.3</t>
  </si>
  <si>
    <t>PF5</t>
  </si>
  <si>
    <t>J3</t>
  </si>
  <si>
    <t>9.3.4</t>
  </si>
  <si>
    <t>9.3.5</t>
  </si>
  <si>
    <t>9.4</t>
  </si>
  <si>
    <t>9.4.1</t>
  </si>
  <si>
    <t>PARTE INTERNA CASA DE BOMBA</t>
  </si>
  <si>
    <t>WC GUARITA</t>
  </si>
  <si>
    <t>PARTE INTERNA LIXEIRA</t>
  </si>
  <si>
    <t>PARTE INTERNA GLP</t>
  </si>
  <si>
    <t>9.4.2</t>
  </si>
  <si>
    <t>9.4.3</t>
  </si>
  <si>
    <t>9.4.4</t>
  </si>
  <si>
    <t>CASA DE GÁS</t>
  </si>
  <si>
    <t>CASA DE BOMBA  E CISTERNA</t>
  </si>
  <si>
    <t>9.5</t>
  </si>
  <si>
    <t>9.5.1</t>
  </si>
  <si>
    <t xml:space="preserve">LIXEIRA </t>
  </si>
  <si>
    <t>9.5.2</t>
  </si>
  <si>
    <t>9.5.3</t>
  </si>
  <si>
    <t>9.5.4</t>
  </si>
  <si>
    <t>9.5.5</t>
  </si>
  <si>
    <t>9.5.6</t>
  </si>
  <si>
    <t>9.5.7</t>
  </si>
  <si>
    <t>9.6</t>
  </si>
  <si>
    <t>9.6.1</t>
  </si>
  <si>
    <t>CASA DE LIXO</t>
  </si>
  <si>
    <t>9.6.2</t>
  </si>
  <si>
    <t>FACHADA CASA DE BOMBA</t>
  </si>
  <si>
    <t>FACHADA GUARITA</t>
  </si>
  <si>
    <t>FACHADA LIXEIRA</t>
  </si>
  <si>
    <t>FACHADA GLP</t>
  </si>
  <si>
    <t>9.6.3</t>
  </si>
  <si>
    <t>9.6.4</t>
  </si>
  <si>
    <t>9.6.5</t>
  </si>
  <si>
    <t>CASA DE LIXO - VÃO</t>
  </si>
  <si>
    <t>9.6.6</t>
  </si>
  <si>
    <t>9.7</t>
  </si>
  <si>
    <t>9.7.1</t>
  </si>
  <si>
    <t>ENTRADA GUARITA</t>
  </si>
  <si>
    <t>9.8</t>
  </si>
  <si>
    <t>9.8.1</t>
  </si>
  <si>
    <t>9.8.2</t>
  </si>
  <si>
    <t>J2</t>
  </si>
  <si>
    <t>9.8.3</t>
  </si>
  <si>
    <t>JANELA FIXA DE ALUMÍNIO PARA VIDRO, COM VIDRO, BATENTE E FERRAGENS, EXCLUSIVE ACABAMENTO, ALIZAR E CONTRAMARCO, FIXAÇÃO COM PARAFUSO - FORNECIMENTO E INSTALAÇÃO. AF_11/2024</t>
  </si>
  <si>
    <t>9.8.4</t>
  </si>
  <si>
    <t>JANELA DE ALUMÍNIO DE CORRER COM 2 FOLHAS PARA VIDROS, COM VIDROS, BATENTE, ACABAMENTO COM ACETATO OU BRILHANTE E FERRAGENS, EXCLUSIVE ALIZAR E CONTRAMARCO, FIXAÇÃO COM PARAFUSO. FORNECIMENTO E INSTALAÇÃO. AF_11/2024</t>
  </si>
  <si>
    <t>9.8.5</t>
  </si>
  <si>
    <t>9.8.6</t>
  </si>
  <si>
    <t>9.8.7</t>
  </si>
  <si>
    <t>9.9</t>
  </si>
  <si>
    <t>9.9.1</t>
  </si>
  <si>
    <t>9.9.2</t>
  </si>
  <si>
    <t>9.9.3</t>
  </si>
  <si>
    <t>9.9.4</t>
  </si>
  <si>
    <t>9.9.5</t>
  </si>
  <si>
    <t>9.9.6</t>
  </si>
  <si>
    <t>9.10</t>
  </si>
  <si>
    <t>9.11.1</t>
  </si>
  <si>
    <t>9.11.2</t>
  </si>
  <si>
    <t>9.11.3</t>
  </si>
  <si>
    <t>9.11.4</t>
  </si>
  <si>
    <t>CURVA 90 GRAUS PARA ELETRODUTO, PVC, ROSCÁVEL, DN 50 MM (1 1/2"), PARA REDE ENTERRADA DE DISTRIBUIÇÃO DE ENERGIA ELÉTRICA - FORNECIMENTO E INSTALAÇÃO. AF_12/2021</t>
  </si>
  <si>
    <t>9.11.5</t>
  </si>
  <si>
    <t>9.11.6</t>
  </si>
  <si>
    <t>9.11.7</t>
  </si>
  <si>
    <t>9.11.8</t>
  </si>
  <si>
    <t>9.11.9</t>
  </si>
  <si>
    <t>9.11.10</t>
  </si>
  <si>
    <t>9.11.11</t>
  </si>
  <si>
    <t>9.11.12</t>
  </si>
  <si>
    <t>9.11.13</t>
  </si>
  <si>
    <t>9.11.14</t>
  </si>
  <si>
    <t>9.11.15</t>
  </si>
  <si>
    <t>9.11.16</t>
  </si>
  <si>
    <t>9.11.17</t>
  </si>
  <si>
    <t>DISJUNTOR MONOPOLAR TIPO DIN, CORRENTE NOMINAL DE 32A - FORNECIMENTO E INSTALAÇÃO. AF_10/2020</t>
  </si>
  <si>
    <t>9.11.18</t>
  </si>
  <si>
    <t>DISJUNTOR MONOPOLAR TIPO DIN, CORRENTE NOMINAL DE 50A - FORNECIMENTO E INSTALAÇÃO. AF_10/2020</t>
  </si>
  <si>
    <t>9.11.19</t>
  </si>
  <si>
    <t>9.11.20</t>
  </si>
  <si>
    <t>9.11.21</t>
  </si>
  <si>
    <t>9.11.22</t>
  </si>
  <si>
    <t>ELETRODUTO FLEXÍVEL CORRUGADO, PEAD, DN 40 MM (1 1/4"), PARA CIRCUITOS TERMINAIS, INSTALADO EM PAREDE - FORNECIMENTO E INSTALAÇÃO. AF_03/2023</t>
  </si>
  <si>
    <t>9.11.23</t>
  </si>
  <si>
    <t>9.11.24</t>
  </si>
  <si>
    <t>FIXAÇÃO DE TUBOS HORIZONTAIS DE PVC ÁGUA/PVC ESGOTO/PVC PLUVIAL/CPVC/PPR/COBRE OU AÇO, DIÂMETROS MENORES OU IGUAIS A 40 MM, COM ABRAÇADEIRA METÁLICA RÍGIDA TIPO  D  COM PARAFUSO DE FIXAÇÃO 1 1/4", FIXADA DIRETAMENTE NA LAJE OU PAREDE. AF_09/2023</t>
  </si>
  <si>
    <t>9.11.25</t>
  </si>
  <si>
    <t>9.11.26</t>
  </si>
  <si>
    <t>9.11.27</t>
  </si>
  <si>
    <t>9.11.28</t>
  </si>
  <si>
    <t>9.11.29</t>
  </si>
  <si>
    <t>ARMAÇÃO SECUNDÁRIA, COM 1 ESTRIBO E 1 ISOLADOR - FORNECIMENTO E INSTALAÇÃO. AF_07/2020</t>
  </si>
  <si>
    <t>9.11.30</t>
  </si>
  <si>
    <t>9.11.31</t>
  </si>
  <si>
    <t>9.11.32</t>
  </si>
  <si>
    <t>9.11.33</t>
  </si>
  <si>
    <t>9.11.34</t>
  </si>
  <si>
    <t xml:space="preserve"> 04.03.459 </t>
  </si>
  <si>
    <t>ARRUELA LISA GALVAN. - 14MM</t>
  </si>
  <si>
    <t>9.11.35</t>
  </si>
  <si>
    <t>9.11.36</t>
  </si>
  <si>
    <t xml:space="preserve"> 04.03.590 </t>
  </si>
  <si>
    <t>PARAFUSO FENDA GALVAN. CAB. PANELA - 2,9X25MM AUTOATARRACHANTE</t>
  </si>
  <si>
    <t>9.11.37</t>
  </si>
  <si>
    <t>9.11.38</t>
  </si>
  <si>
    <t xml:space="preserve"> 04.03.489 </t>
  </si>
  <si>
    <t>CAIXA DE PASSAGEM - ALVENARIA - 300X300X300MM</t>
  </si>
  <si>
    <t>9.11.39</t>
  </si>
  <si>
    <t xml:space="preserve"> 04.03.492 </t>
  </si>
  <si>
    <t>CAIXA DE PASSAGEM - ALVENARIA - TAMPA 300X300X50MM</t>
  </si>
  <si>
    <t>9.11.40</t>
  </si>
  <si>
    <t>9.11.41</t>
  </si>
  <si>
    <t>9.11.42</t>
  </si>
  <si>
    <t xml:space="preserve"> 04.03.564 </t>
  </si>
  <si>
    <t>INTERRUPTOR BIPOLAR DR (FASE/NEUTRO - IN 30MA) - DIN - 25 A</t>
  </si>
  <si>
    <t>9.11.43</t>
  </si>
  <si>
    <t xml:space="preserve"> 04.03.682 </t>
  </si>
  <si>
    <t>9.11.44</t>
  </si>
  <si>
    <t xml:space="preserve"> 04.03.474 </t>
  </si>
  <si>
    <t>CABO DE COBRE NU, 7 FIOS #16MM²</t>
  </si>
  <si>
    <t>9.11.45</t>
  </si>
  <si>
    <t xml:space="preserve"> 04.03.551 </t>
  </si>
  <si>
    <t>FITA DE AÇO INOXIDÁVEL - 0.50MM</t>
  </si>
  <si>
    <t>9.11.46</t>
  </si>
  <si>
    <t xml:space="preserve"> 04.03.456 </t>
  </si>
  <si>
    <t>ARRUELA DE ALUMÍNIO - 1.1/2"</t>
  </si>
  <si>
    <t>9.11.47</t>
  </si>
  <si>
    <t xml:space="preserve"> 04.03.480 </t>
  </si>
  <si>
    <t>BUCHA DE ALUMÍNIO - 1.1/2"</t>
  </si>
  <si>
    <t>9.11.48</t>
  </si>
  <si>
    <t>CURVA 180 GRAUS PARA ELETRODUTO, PVC, ROSCÁVEL, DN 40 MM (1 1/4”), PARA CIRCUITOS TERMINAIS, INSTALADA EM FORRO - FORNECIMENTO E INSTALAÇÃO. AF_03/2023</t>
  </si>
  <si>
    <t>9.11.49</t>
  </si>
  <si>
    <t>04.03.705</t>
  </si>
  <si>
    <t>PARAFUSO MAQUINA 12 X 200 MM</t>
  </si>
  <si>
    <t>9.11.50</t>
  </si>
  <si>
    <t>04.03.706</t>
  </si>
  <si>
    <t>PARAFUSO PARA FIXAÇÃO DE CANTONEIRA - 12X150MM</t>
  </si>
  <si>
    <t>9.11.51</t>
  </si>
  <si>
    <t>04.03.713</t>
  </si>
  <si>
    <t>PORCA SEXTAVADA GALVAN. - 14MM</t>
  </si>
  <si>
    <t>9.11.52</t>
  </si>
  <si>
    <t>9.11.53</t>
  </si>
  <si>
    <t>04.03.749</t>
  </si>
  <si>
    <t>PLACA 2"X4" - VENTILADOR TETO - LIGA/DESLIGA</t>
  </si>
  <si>
    <t>9.11.54</t>
  </si>
  <si>
    <t>INTERRUPTOR BIPOLAR (1 MÓDULO), 10A/250V, INCLUINDO SUPORTE E PLACA - FORNECIMENTO E INSTALAÇÃO. AF_03/2023</t>
  </si>
  <si>
    <t>9.11.55</t>
  </si>
  <si>
    <t>04.03.628</t>
  </si>
  <si>
    <t>9.11.56</t>
  </si>
  <si>
    <t>9.11.57</t>
  </si>
  <si>
    <t>04.03.750</t>
  </si>
  <si>
    <t>PONTALETE DE TUBO FERRO GALVAN. - TIPO L - 38MM X 38MM - 7DAN - 2 METROS</t>
  </si>
  <si>
    <t>9.12.1.1</t>
  </si>
  <si>
    <t>9.12.1.2</t>
  </si>
  <si>
    <t>9.12.1.3</t>
  </si>
  <si>
    <t>9.12.1.4</t>
  </si>
  <si>
    <t>9.12.1.5</t>
  </si>
  <si>
    <t>9.12.1.6</t>
  </si>
  <si>
    <t>9.12.1.7</t>
  </si>
  <si>
    <t>9.12.1.8</t>
  </si>
  <si>
    <t>9.12.1.9</t>
  </si>
  <si>
    <t>9.12.1.10</t>
  </si>
  <si>
    <t>9.12.1.11</t>
  </si>
  <si>
    <t>9.12.1.12</t>
  </si>
  <si>
    <t>9.12.1.13</t>
  </si>
  <si>
    <t>9.11.2.1</t>
  </si>
  <si>
    <t>9.11.2.2</t>
  </si>
  <si>
    <t>9.11.2.3</t>
  </si>
  <si>
    <t>9.11.2.4</t>
  </si>
  <si>
    <t>9.11.2.5</t>
  </si>
  <si>
    <t>9.11.2.6</t>
  </si>
  <si>
    <t>9.11.2.7</t>
  </si>
  <si>
    <t>9.11.2.8</t>
  </si>
  <si>
    <t>9.11.2.9</t>
  </si>
  <si>
    <t>9.12.3.1</t>
  </si>
  <si>
    <t>VASO SANITÁRIO SIFONADO COM CAIXA ACOPLADA LOUÇA BRANCA, INCLUSO ENGATE FLEXÍVEL EM PLÁSTICO BRANCO, 1/2  X 40CM - FORNECIMENTO E INSTALAÇÃO. AF_01/2020</t>
  </si>
  <si>
    <t>9.12.3.2</t>
  </si>
  <si>
    <t>9.12.3.3</t>
  </si>
  <si>
    <t>9.12.3.4</t>
  </si>
  <si>
    <t>9.12.3.5</t>
  </si>
  <si>
    <t>CHUVEIRO ELÉTRICO COMUM CORPO PLÁSTICO, TIPO DUCHA  FORNECIMENTO E INSTALAÇÃO. AF_01/2020</t>
  </si>
  <si>
    <t>9.12.3.6</t>
  </si>
  <si>
    <t>9.12.3.7</t>
  </si>
  <si>
    <t>9.12.3.8</t>
  </si>
  <si>
    <t>9.12.3.9</t>
  </si>
  <si>
    <t>9.12.3.10</t>
  </si>
  <si>
    <t>9.12.3.11</t>
  </si>
  <si>
    <t>9.12.3.12</t>
  </si>
  <si>
    <t>9.12.4.1</t>
  </si>
  <si>
    <t>9.12.4.2</t>
  </si>
  <si>
    <t>9.12.4.3</t>
  </si>
  <si>
    <t>9.12.4.4</t>
  </si>
  <si>
    <t>9.12.4.5</t>
  </si>
  <si>
    <t>9.12.4.6</t>
  </si>
  <si>
    <t>9.12</t>
  </si>
  <si>
    <t>9.13.1</t>
  </si>
  <si>
    <t>9.13.2</t>
  </si>
  <si>
    <t>9.13.3</t>
  </si>
  <si>
    <t>9.13.4</t>
  </si>
  <si>
    <t>9.13.5</t>
  </si>
  <si>
    <t>9.13.6</t>
  </si>
  <si>
    <t>9.13.7</t>
  </si>
  <si>
    <t>9.13.8</t>
  </si>
  <si>
    <t>9.13</t>
  </si>
  <si>
    <t xml:space="preserve">	CABEAMENTO ESTRUTURADO/CFTV/ SONORIZAÇÃO</t>
  </si>
  <si>
    <t>9.14.1</t>
  </si>
  <si>
    <t>9.14.2</t>
  </si>
  <si>
    <t>9.14.3</t>
  </si>
  <si>
    <t>9.14.4</t>
  </si>
  <si>
    <t>9.14.5</t>
  </si>
  <si>
    <t>9.14.6</t>
  </si>
  <si>
    <t>9.14.7</t>
  </si>
  <si>
    <t>9.14.8</t>
  </si>
  <si>
    <t>9.14.9</t>
  </si>
  <si>
    <t>9.14.10</t>
  </si>
  <si>
    <t>9.14.11</t>
  </si>
  <si>
    <t>9.14.12</t>
  </si>
  <si>
    <t>9.14.13</t>
  </si>
  <si>
    <t>9.14.14</t>
  </si>
  <si>
    <t>9.14.15</t>
  </si>
  <si>
    <t>9.14.16</t>
  </si>
  <si>
    <t>9.14.17</t>
  </si>
  <si>
    <t>9.14.18</t>
  </si>
  <si>
    <t>9.14.19</t>
  </si>
  <si>
    <t>9.14.20</t>
  </si>
  <si>
    <t>9.14</t>
  </si>
  <si>
    <t>TUBO EM COBRE FLEXÍVEL, DN 3/8", COM ISOLAMENTO, INSTALADO EM FORRO, PARA RAMAL DE ALIMENTAÇÃO DE AR CONDICIONADO, INCLUSO FIXADOR. AF_11/2021_PA</t>
  </si>
  <si>
    <t xml:space="preserve">FORNECIMENTO E INSTALAÇÃO DE RENOVADOR DE AR SPLITVENT COM FILTRO CLASSE G4, VAZÃO DE AR 93 M3/H, INCLUSIVE SUPORTES, APOIOS E FIXAÇÕES. </t>
  </si>
  <si>
    <t>10.1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</si>
  <si>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</si>
  <si>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</si>
  <si>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</si>
  <si>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</si>
  <si>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</si>
  <si>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</si>
  <si>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</si>
  <si>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</si>
  <si>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</si>
  <si>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</si>
  <si>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</si>
  <si>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</si>
  <si>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</si>
  <si>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</si>
  <si>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</si>
  <si>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</si>
  <si>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</si>
  <si>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10.2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</si>
  <si>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</si>
  <si>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</si>
  <si>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</si>
  <si>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</si>
  <si>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</si>
  <si>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</si>
  <si>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</si>
  <si>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</si>
  <si>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</si>
  <si>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</si>
  <si>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</si>
  <si>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</si>
  <si>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ESCADA</t>
  </si>
  <si>
    <t>10.2.13</t>
  </si>
  <si>
    <t>10.2.14</t>
  </si>
  <si>
    <t>ESTRUTURA METÁLICA</t>
  </si>
  <si>
    <t>10.2.6.1</t>
  </si>
  <si>
    <t>10.3</t>
  </si>
  <si>
    <t>10.3.1</t>
  </si>
  <si>
    <t>COORD ED FISICA</t>
  </si>
  <si>
    <t>VESTIARIO PCD FEM</t>
  </si>
  <si>
    <t>VESTIARIO FEMININO</t>
  </si>
  <si>
    <t>VESTIARIO MASCULINO</t>
  </si>
  <si>
    <t>VESTIARIO PCD MASC</t>
  </si>
  <si>
    <t>LATERAL QUADRA</t>
  </si>
  <si>
    <t>LADO POSTERIOR QUADRA</t>
  </si>
  <si>
    <t>10.3.2</t>
  </si>
  <si>
    <t>CHUVEIRO</t>
  </si>
  <si>
    <t>BACIA</t>
  </si>
  <si>
    <t>10.3.3</t>
  </si>
  <si>
    <t>10.3.4</t>
  </si>
  <si>
    <t>10.3.5</t>
  </si>
  <si>
    <t>10.3.6</t>
  </si>
  <si>
    <t>10.4</t>
  </si>
  <si>
    <t>10.4.1</t>
  </si>
  <si>
    <t xml:space="preserve">TELHA </t>
  </si>
  <si>
    <t>10.4.2</t>
  </si>
  <si>
    <t>10.4.3</t>
  </si>
  <si>
    <t>10.5</t>
  </si>
  <si>
    <t>10.5.1</t>
  </si>
  <si>
    <t>10.5.2</t>
  </si>
  <si>
    <t>10.6</t>
  </si>
  <si>
    <t>10.6.1</t>
  </si>
  <si>
    <t>VEST PCD FEM</t>
  </si>
  <si>
    <t>VEST FEM</t>
  </si>
  <si>
    <t>VEST MASC</t>
  </si>
  <si>
    <t>VEST PCD MASC</t>
  </si>
  <si>
    <t>10.6.2</t>
  </si>
  <si>
    <t>10.6.3</t>
  </si>
  <si>
    <t>10.6.4</t>
  </si>
  <si>
    <t>10.6.5</t>
  </si>
  <si>
    <t>10.6.6</t>
  </si>
  <si>
    <t>10.6.7</t>
  </si>
  <si>
    <t>10.7</t>
  </si>
  <si>
    <t>10.7.1</t>
  </si>
  <si>
    <t>10.7.2</t>
  </si>
  <si>
    <t>10.7.3</t>
  </si>
  <si>
    <t>10.7.4</t>
  </si>
  <si>
    <t>10.7.5</t>
  </si>
  <si>
    <t>10.7.6</t>
  </si>
  <si>
    <t>10.8</t>
  </si>
  <si>
    <t>10.8.1</t>
  </si>
  <si>
    <t>10.8.2</t>
  </si>
  <si>
    <t>10.8.3</t>
  </si>
  <si>
    <t>10.8.4</t>
  </si>
  <si>
    <t>10.8.5</t>
  </si>
  <si>
    <t>10.9</t>
  </si>
  <si>
    <t>10.10.1</t>
  </si>
  <si>
    <t>CONDULETE DE PVC, TIPO C, PARA ELETRODUTO DE PVC SOLDÁVEL DN 25 MM (3/4''), APARENTE - FORNECIMENTO E INSTALAÇÃO. AF_10/2022</t>
  </si>
  <si>
    <t>10.10.2</t>
  </si>
  <si>
    <t>CONDULETE DE PVC, TIPO X, PARA ELETRODUTO DE PVC SOLDÁVEL DN 25 MM (3/4"), APARENTE - FORNECIMENTO E INSTALAÇÃO. AF_10/2022</t>
  </si>
  <si>
    <t>10.10.3</t>
  </si>
  <si>
    <t>10.10.4</t>
  </si>
  <si>
    <t>10.10.5</t>
  </si>
  <si>
    <t>10.10.6</t>
  </si>
  <si>
    <t>10.10.7</t>
  </si>
  <si>
    <t>10.10.8</t>
  </si>
  <si>
    <t>10.10.9</t>
  </si>
  <si>
    <t>10.10.10</t>
  </si>
  <si>
    <t>10.10.11</t>
  </si>
  <si>
    <t>10.10.12</t>
  </si>
  <si>
    <t>10.10.13</t>
  </si>
  <si>
    <t>FIXAÇÃO DE TUBOS HORIZONTAIS DE PVC ÁGUA, PVC ESGOTO, PVC ÁGUA PLUVIAL, CPVC, PPR, COBRE OU AÇO, DIÂMETROS MAIORES QUE 75 MM E MENORES OU IGUAIS A 100 MM, COM ABRAÇADEIRA METÁLICA RÍGIDA TIPO U PERFIL 4", FIXADA EM PERFILADO EM LAJE. AF_09/2023_PS</t>
  </si>
  <si>
    <t>10.10.14</t>
  </si>
  <si>
    <t>CURVA 90 GRAUS PARA ELETRODUTO, PVC, ROSCÁVEL, DN 40 MM (1 1/4"), PARA CIRCUITOS TERMINAIS, INSTALADA EM FORRO - FORNECIMENTO E INSTALAÇÃO. AF_03/2023</t>
  </si>
  <si>
    <t>10.10.15</t>
  </si>
  <si>
    <t>10.10.16</t>
  </si>
  <si>
    <t>10.10.17</t>
  </si>
  <si>
    <t>10.10.18</t>
  </si>
  <si>
    <t>10.10.19</t>
  </si>
  <si>
    <t>10.10.20</t>
  </si>
  <si>
    <t>10.10.21</t>
  </si>
  <si>
    <t>10.10.22</t>
  </si>
  <si>
    <t>10.10.23</t>
  </si>
  <si>
    <t>10.10.24</t>
  </si>
  <si>
    <t>10.10.25</t>
  </si>
  <si>
    <t>10.10.26</t>
  </si>
  <si>
    <t xml:space="preserve"> 04.03.495 </t>
  </si>
  <si>
    <t>CAIXA DE PASSAGEM SOBREPOR - AÇO PINTADA 100X100X80</t>
  </si>
  <si>
    <t>10.10.27</t>
  </si>
  <si>
    <t xml:space="preserve"> 04.03.496 </t>
  </si>
  <si>
    <t>CAIXA DE PASSAGEM SOBREPOR - PVC 150X150*68</t>
  </si>
  <si>
    <t>10.10.28</t>
  </si>
  <si>
    <t xml:space="preserve"> 04.03.497 </t>
  </si>
  <si>
    <t>CAIXA DE PASSAGEM SOBREPOR - PVC 250X323X74</t>
  </si>
  <si>
    <t>10.10.29</t>
  </si>
  <si>
    <t xml:space="preserve"> 04.03.683 </t>
  </si>
  <si>
    <t>REFLETOR LED 200W</t>
  </si>
  <si>
    <t>10.10.30</t>
  </si>
  <si>
    <t xml:space="preserve"> 04.03.461 </t>
  </si>
  <si>
    <t>ARRUELA PRESSAO GALV - 1/4"</t>
  </si>
  <si>
    <t>10.10.31</t>
  </si>
  <si>
    <t xml:space="preserve"> 04.03.544 </t>
  </si>
  <si>
    <t>DISJUNTOR DR 25A, 30MA</t>
  </si>
  <si>
    <t>10.10.32</t>
  </si>
  <si>
    <t>10.10.33</t>
  </si>
  <si>
    <t>10.10.34</t>
  </si>
  <si>
    <t>ELETRODUTO RÍGIDO ROSCÁVEL, PVC, DN 40 MM (1 1/4”), PARA CIRCUITOS TERMINAIS, INSTALADO EM PAREDE - FORNECIMENTO E INSTALAÇÃO. AF_03/2023</t>
  </si>
  <si>
    <t>10.10.35</t>
  </si>
  <si>
    <t>ELETRODUTO RÍGIDO SOLDÁVEL, PVC, DN 25 MM (3/4''), APARENTE - FORNECIMENTO E INSTALAÇÃO. AF_10/2022</t>
  </si>
  <si>
    <t>10.10.36</t>
  </si>
  <si>
    <t>04.03.769</t>
  </si>
  <si>
    <t>LUMINÁRIA CIRCULAR (OU QUADRADA) TIPO PLAFON LED 15W, DE SOBREPOR OU EMBUTIR</t>
  </si>
  <si>
    <t>10.10.37</t>
  </si>
  <si>
    <t>04.03.569</t>
  </si>
  <si>
    <t>10.10.38</t>
  </si>
  <si>
    <t>04.03.537</t>
  </si>
  <si>
    <t>10.10</t>
  </si>
  <si>
    <t>10.11.1.1</t>
  </si>
  <si>
    <t>10.11.1.2</t>
  </si>
  <si>
    <t>BUCHA DE REDUÇÃO, PPR, 32 X 25, CLASSE PN 25, INSTALADO EM PRUMADA DE ÁGUA   FORNECIMENTO E INSTALAÇÃO . AF_08/2022</t>
  </si>
  <si>
    <t>10.11.1.3</t>
  </si>
  <si>
    <t>10.11.1.4</t>
  </si>
  <si>
    <t>10.11.1.5</t>
  </si>
  <si>
    <t>10.11.1.6</t>
  </si>
  <si>
    <t>10.11.1.7</t>
  </si>
  <si>
    <t>10.11.1.8</t>
  </si>
  <si>
    <t>10.11.1.9</t>
  </si>
  <si>
    <t>10.11.1.10</t>
  </si>
  <si>
    <t>10.11.1.11</t>
  </si>
  <si>
    <t>10.11.1.12</t>
  </si>
  <si>
    <t>10.11.1.13</t>
  </si>
  <si>
    <t>10.11.1.14</t>
  </si>
  <si>
    <t>10.11.1.15</t>
  </si>
  <si>
    <t>10.11.1.16</t>
  </si>
  <si>
    <t>10.11.1.17</t>
  </si>
  <si>
    <t>10.11.1.18</t>
  </si>
  <si>
    <t>10.11.1.19</t>
  </si>
  <si>
    <t>10.11.1.20</t>
  </si>
  <si>
    <t>10.11.1.21</t>
  </si>
  <si>
    <t xml:space="preserve">TORNEIRA DE BOIA PARA CAIXA D'ÁGUA, ROSCÁVEL, 3/4" - FORNECIMENTO E INSTALAÇÃO. AF_08/2021 </t>
  </si>
  <si>
    <t>10.11.1.22</t>
  </si>
  <si>
    <t>10.11.1.23</t>
  </si>
  <si>
    <t>CAIXA D´ÁGUA EM POLIETILENO, 1000 LITROS (INCLUSOS TUBOS, CONEXÕES E TORNEIRA DE BÓIA) - FORNECIMENTO E INSTALAÇÃO. AF_06/2021</t>
  </si>
  <si>
    <t>10.11.1.24</t>
  </si>
  <si>
    <t>TUBO, PVC, SOLDÁVEL, DN 50MM, INSTALADO EM PRUMADA DE ÁGUA - FORNECIMENTO E INSTALAÇÃO. AF_06/2022</t>
  </si>
  <si>
    <t>10.11.1.25</t>
  </si>
  <si>
    <t>10.11.1.26</t>
  </si>
  <si>
    <t>TUBO, PVC, SOLDÁVEL, DE  25MM, INSTALADO EM RESERVAÇÃO PREDIAL DE ÁGUA - FORNECIMENTO E INSTALAÇÃO. AF_04/2024</t>
  </si>
  <si>
    <t>10.11.1.27</t>
  </si>
  <si>
    <t>10.11.1.28</t>
  </si>
  <si>
    <t>10.11.2.1</t>
  </si>
  <si>
    <t>10.11.2.2</t>
  </si>
  <si>
    <t>10.11.2.3</t>
  </si>
  <si>
    <t>10.11.2.4</t>
  </si>
  <si>
    <t>10.11.2.5</t>
  </si>
  <si>
    <t>10.11.2.6</t>
  </si>
  <si>
    <t>10.11.2.7</t>
  </si>
  <si>
    <t>JUNÇÃO DUPLA DE PVC, SÉRIE NORMAL, PARA ESGOTO PREDIAL, DN 100 X 100 X 100 MM, INSTALADA EM DRENO  - FORNECIMENTO E INSTALAÇÃO. AF_07/2021</t>
  </si>
  <si>
    <t>10.11.2.8</t>
  </si>
  <si>
    <t>10.11.2.9</t>
  </si>
  <si>
    <t>10.11.2.10</t>
  </si>
  <si>
    <t>10.11.2.11</t>
  </si>
  <si>
    <t>10.11.2.12</t>
  </si>
  <si>
    <t>10.11.2.13</t>
  </si>
  <si>
    <t xml:space="preserve">JUNÇÃO SIMPLES, PVC, SERIE NORMAL, ESGOTO PREDIAL, DN 100 X 50 MM, JUNTA ELÁSTICA, FORNECIDO E INSTALADO EM RAMAL DE DESCARGA OU RAMAL DE ESGOTO SANITÁRIO.  </t>
  </si>
  <si>
    <t>10.11.2.14</t>
  </si>
  <si>
    <t>10.11.2.15</t>
  </si>
  <si>
    <t>10.11.2.16</t>
  </si>
  <si>
    <t>10.11.2.17</t>
  </si>
  <si>
    <t>10.11.2.18</t>
  </si>
  <si>
    <t>10.11.2.19</t>
  </si>
  <si>
    <t>10.11.3.1</t>
  </si>
  <si>
    <t>04.03.724</t>
  </si>
  <si>
    <t>VASO SANITÁRIO SIFONADO COM CAIXA ACOPLADA LOUÇA BRANCA, INCLUSO ENGATE FLEXÍVEL EM PLÁSTICO BRANCO, 1/2 X 40CM - FORNECIMENTO E INSTALAÇÃO - COM DUPLO ACIONAMENTO</t>
  </si>
  <si>
    <t>10.11.3.2</t>
  </si>
  <si>
    <t>MICTÓRIO SIFONADO LOUÇA BRANCA  PADRÃO MÉDIO  FORNECIMENTO E INSTALAÇÃO. AF_01/2020</t>
  </si>
  <si>
    <t>10.11.3.3</t>
  </si>
  <si>
    <t>VÁLVULA DE DESCARGA METÁLICA, BASE 1 1/2", ACABAMENTO METALICO CROMADO - FORNECIMENTO E INSTALAÇÃO. AF_08/2021</t>
  </si>
  <si>
    <t>10.11.3.4</t>
  </si>
  <si>
    <t>10.11.3.5</t>
  </si>
  <si>
    <t>10.11.3.6</t>
  </si>
  <si>
    <t>10.11.3.7</t>
  </si>
  <si>
    <t>PAPELEIRA DE PAREDE EM METAL CROMADO SEM TAMPA, INCLUSO FIXAÇÃO. AF_01/2020</t>
  </si>
  <si>
    <t>10.11.3.8</t>
  </si>
  <si>
    <t>10.11.3.9</t>
  </si>
  <si>
    <t>04.03.723</t>
  </si>
  <si>
    <t>TORNEIRA CROMADA DE MESA, 1/2" OU 3/4", PARA LAVATÓRIO, PADRÃO MÉDIO - FORNECIMENTO E INSTALAÇÃO. - FECHAMENTO AUTOMATICO</t>
  </si>
  <si>
    <t>10.11.3.10</t>
  </si>
  <si>
    <t>10.11.3.11</t>
  </si>
  <si>
    <t>BARRA DE APOIO RETA, EM ACO INOX POLIDO, COMPRIMENTO 70 CM,  FIXADA NA PAREDE - FORNECIMENTO E INSTALAÇÃO. AF_01/2020</t>
  </si>
  <si>
    <t>10.11.3.12</t>
  </si>
  <si>
    <t>BARRA DE APOIO RETA, EM ACO INOX POLIDO, COMPRIMENTO 80 CM,  FIXADA NA PAREDE - FORNECIMENTO E INSTALAÇÃO. AF_01/2020</t>
  </si>
  <si>
    <t>10.11.3.13</t>
  </si>
  <si>
    <t>10.11.3.14</t>
  </si>
  <si>
    <t xml:space="preserve"> 04.03.225 </t>
  </si>
  <si>
    <t>BANCADA EM GRANITO CINZA ANDORINHA, E=2,5CM - FORNECIMENTO E INSTALAÇÃO</t>
  </si>
  <si>
    <t>10.11.3.15</t>
  </si>
  <si>
    <t xml:space="preserve"> 04.03.557 </t>
  </si>
  <si>
    <t>GANCHO CABIDE EM INOX PARA TOALHA</t>
  </si>
  <si>
    <t>10.11.3.16</t>
  </si>
  <si>
    <t xml:space="preserve"> 04.03.546 </t>
  </si>
  <si>
    <t>10.11.3.17</t>
  </si>
  <si>
    <t xml:space="preserve"> 04.03.541 </t>
  </si>
  <si>
    <t>10.11.3.18</t>
  </si>
  <si>
    <t>FORNECIMENTO E INSTALAÇÃO DE BARRA DE APOIO RETA EM TUBO DE AÇO INOX 304 POLIDO, 40 CM (PCD).</t>
  </si>
  <si>
    <t>10.11.3.19</t>
  </si>
  <si>
    <t xml:space="preserve"> 04.03.221 </t>
  </si>
  <si>
    <t>BEBEDOURO ELÉTRICO DE PRESSÃO 40 LITROS INOX, MASTERFRIO OU SIMILAR - FORNECIMENTO E INSTALAÇÃO.</t>
  </si>
  <si>
    <t>10.11.3.20</t>
  </si>
  <si>
    <t>04.03.725</t>
  </si>
  <si>
    <t>10.11.3.21</t>
  </si>
  <si>
    <t>04.03.751</t>
  </si>
  <si>
    <t>10.11.4.1</t>
  </si>
  <si>
    <t>10.11.4.2</t>
  </si>
  <si>
    <t>10.11.4.3</t>
  </si>
  <si>
    <t>10.11.4.4</t>
  </si>
  <si>
    <t>10.11.4.5</t>
  </si>
  <si>
    <t>10.11.4.6</t>
  </si>
  <si>
    <t>10.11</t>
  </si>
  <si>
    <t>10.11.1</t>
  </si>
  <si>
    <t>10.11.2</t>
  </si>
  <si>
    <t>10.11.3</t>
  </si>
  <si>
    <t>EXTINTOR DE INCÊNDIO PORTÁTIL COM CARGA DE PQS DE 8 KG, CLASSE BC - FORNECIMENTO E INSTALAÇÃO. AF_10/2020_PE</t>
  </si>
  <si>
    <t>10.11.4</t>
  </si>
  <si>
    <t>10.11.5</t>
  </si>
  <si>
    <t>10.11.6</t>
  </si>
  <si>
    <t>10.12</t>
  </si>
  <si>
    <t>10.13.1</t>
  </si>
  <si>
    <t>ELETRODUTO RÍGIDO SOLDÁVEL, PVC, DN 32 MM (1"), APARENTE - FORNECIMENTO E INSTALAÇÃO. AF_10/2022_PS</t>
  </si>
  <si>
    <t>10.13.2</t>
  </si>
  <si>
    <t>10.13.3</t>
  </si>
  <si>
    <t>10.13.4</t>
  </si>
  <si>
    <t>10.13.5</t>
  </si>
  <si>
    <t>10.13.6</t>
  </si>
  <si>
    <t xml:space="preserve"> 04.03.575 </t>
  </si>
  <si>
    <t>LUVA AÇO ZINCADO PESADO - 1"</t>
  </si>
  <si>
    <t>10.13.7</t>
  </si>
  <si>
    <t xml:space="preserve"> 04.03.576 </t>
  </si>
  <si>
    <t>LUVA AÇO ZINCADO PESADO - 3/4"</t>
  </si>
  <si>
    <t>10.13.8</t>
  </si>
  <si>
    <t>10.13</t>
  </si>
  <si>
    <t>11.1</t>
  </si>
  <si>
    <t>11.1.1</t>
  </si>
  <si>
    <t>11.1.2</t>
  </si>
  <si>
    <t>11.1.3</t>
  </si>
  <si>
    <t>TUBO, PVC, SOLDÁVEL, DN 50MM, INSTALADO EM RAMAL DE DISTRIBUIÇÃO DE ÁGUA - FORNECIMENTO E INSTALAÇÃO. AF_06/2022</t>
  </si>
  <si>
    <t>11.1.4</t>
  </si>
  <si>
    <t>TUBO, PVC, SOLDÁVEL, DN 40MM, INSTALADO EM RAMAL DE DISTRIBUIÇÃO DE ÁGUA - FORNECIMENTO E INSTALAÇÃO. AF_06/2022</t>
  </si>
  <si>
    <t>11.1.5</t>
  </si>
  <si>
    <t>TUBO, PVC, SOLDÁVEL, DN 60MM, INSTALADO EM PRUMADA DE ÁGUA - FORNECIMENTO E INSTALAÇÃO. AF_06/2022</t>
  </si>
  <si>
    <t>11.1.6</t>
  </si>
  <si>
    <t>11.1.7</t>
  </si>
  <si>
    <t>ADAPTADOR CURTO COM BOLSA E ROSCA PARA REGISTRO, PVC, SOLDÁVEL, DN 40MM X 1.1/4, INSTALADO EM RAMAL DE DISTRIBUIÇÃO DE ÁGUA - FORNECIMENTO E INSTALAÇÃO. AF_06/2022</t>
  </si>
  <si>
    <t>11.1.8</t>
  </si>
  <si>
    <t>ADAPTADOR CURTO COM BOLSA E ROSCA PARA REGISTRO, PVC, SOLDÁVEL, DN 50MM X 1.1/2", INSTALADO EM RAMAL DE DISTRIBUIÇÃO DE ÁGUA - FORNECIMENTO E INSTALAÇÃO. AF_06/2022</t>
  </si>
  <si>
    <t>11.1.9</t>
  </si>
  <si>
    <t>ADAPTADOR CURTO COM BOLSA E ROSCA PARA REGISTRO, PVC, SOLDÁVEL, DN 60 MM X 2", INSTALADO EM RESERVAÇÃO PREDIAL DE ÁGUA - FORNECIMENTO E INSTALAÇÃO. AF_04/2024</t>
  </si>
  <si>
    <t>11.1.10</t>
  </si>
  <si>
    <t>11.1.11</t>
  </si>
  <si>
    <t>BUCHA DE REDUÇÃO PVC 50MM X 25</t>
  </si>
  <si>
    <t>11.1.12</t>
  </si>
  <si>
    <t>CURVA 90 GRAUS, PVC, SOLDÁVEL, DN 50MM, INSTALADO EM RAMAL DE DISTRIBUIÇÃO DE ÁGUA - FORNECIMENTO E INSTALAÇÃO. AF_06/2022</t>
  </si>
  <si>
    <t>11.1.13</t>
  </si>
  <si>
    <t>JOELHO 90 GRAUS, PVC, SOLDÁVEL, DN 40MM, INSTALADO EM RAMAL DE DISTRIBUIÇÃO DE ÁGUA - FORNECIMENTO E INSTALAÇÃO. AF_06/2022</t>
  </si>
  <si>
    <t>11.1.14</t>
  </si>
  <si>
    <t>11.1.15</t>
  </si>
  <si>
    <t>11.1.16</t>
  </si>
  <si>
    <t>11.1.17</t>
  </si>
  <si>
    <t>JOELHO 90 GRAUS, PVC, SOLDÁVEL, DN 60MM</t>
  </si>
  <si>
    <t>11.1.18</t>
  </si>
  <si>
    <t>JOELHO DE REDUÇÃO, 90 GRAUS, PVC, SOLDÁVEL, DN 32 MM X 25 MM, INSTALADO EM RAMAL OU SUB-RAMAL DE ÁGUA - FORNECIMENTO E INSTALAÇÃO. AF_06/2022</t>
  </si>
  <si>
    <t>11.1.19</t>
  </si>
  <si>
    <t>11.1.20</t>
  </si>
  <si>
    <t>TÊ DE REDUÇÃO, PVC, SOLDÁVEL, DN 50MM X 40MM, INSTALADO EM RAMAL DE DISTRIBUIÇÃO DE ÁGUA - FORNECIMENTO E INSTALAÇÃO. AF_06/2022</t>
  </si>
  <si>
    <t>11.1.21</t>
  </si>
  <si>
    <t>TÊ DE REDUÇÃO, PVC, SOLDÁVEL, DN 40MM X 32MM, INSTALADO EM RAMAL DE DISTRIBUIÇÃO DE ÁGUA - FORNECIMENTO E INSTALAÇÃO. AF_06/2022</t>
  </si>
  <si>
    <t>11.1.22</t>
  </si>
  <si>
    <t>11.1.23</t>
  </si>
  <si>
    <t>11.1.24</t>
  </si>
  <si>
    <t>TE, PVC, SOLDÁVEL, DN 40MM, INSTALADO EM RAMAL DE DISTRIBUIÇÃO DE ÁGUA - FORNECIMENTO E INSTALAÇÃO. AF_06/2022</t>
  </si>
  <si>
    <t>11.1.25</t>
  </si>
  <si>
    <t>11.1.26</t>
  </si>
  <si>
    <t>UNIÃO, PVC, SOLDÁVEL, DN 50MM, INSTALADO EM RAMAL DE DISTRIBUIÇÃO DE ÁGUA - FORNECIMENTO E INSTALAÇÃO. AF_06/2022</t>
  </si>
  <si>
    <t>11.1.27</t>
  </si>
  <si>
    <t>REGISTRO DE GAVETA BRUTO, LATÃO, ROSCÁVEL, 1 1/4" - FORNECIMENTO E INSTALAÇÃO. AF_08/2021</t>
  </si>
  <si>
    <t>11.1.28</t>
  </si>
  <si>
    <t>REGISTRO DE GAVETA BRUTO, LATÃO, ROSCÁVEL, 2"</t>
  </si>
  <si>
    <t>11.1.29</t>
  </si>
  <si>
    <t>REGISTRO DE ESFERA, PVC, SOLDÁVEL, COM VOLANTE, DN  50 MM - FORNECIMENTO E INSTALAÇÃO. AF_08/2021</t>
  </si>
  <si>
    <t>11.1.30</t>
  </si>
  <si>
    <t>REGISTRO DE ESFERA, PVC, SOLDÁVEL, COM VOLANTE, DN  40 MM - FORNECIMENTO E INSTALAÇÃO. AF_08/2021</t>
  </si>
  <si>
    <t>11.1.31</t>
  </si>
  <si>
    <t>REGISTRO DE ESFERA, PVC, SOLDÁVEL, COM VOLANTE, DN  32 MM - FORNECIMENTO E INSTALAÇÃO. AF_08/2021</t>
  </si>
  <si>
    <t>11.1.32</t>
  </si>
  <si>
    <t>BOMBA CENTRÍFUGA, TRIFÁSICA, 3 CV OU 2,96 HP, HM 34 A 40 M, Q 8,6 A 14,8 M3/H - FORNECIMENTO E INSTALAÇÃO. AF_12/2020</t>
  </si>
  <si>
    <t>11.1.33</t>
  </si>
  <si>
    <t>INCÊNDIO</t>
  </si>
  <si>
    <t>11.1.34</t>
  </si>
  <si>
    <t>04.03.334</t>
  </si>
  <si>
    <t>11.1.35</t>
  </si>
  <si>
    <t>11.1.36</t>
  </si>
  <si>
    <t>TORNEIRA DE BOIA PARA CAIXA D'ÁGUA, ROSCÁVEL, 2” - FORNECIMENTO E INSTALAÇÃO. AF_08/2021</t>
  </si>
  <si>
    <t>11.1.37</t>
  </si>
  <si>
    <t>TORNEIRA DE BOIA PARA CAIXA D'ÁGUA, ROSCÁVEL, 1 1/4" - FORNECIMENTO E INSTALAÇÃO. AF_08/2021</t>
  </si>
  <si>
    <t>11.1.38</t>
  </si>
  <si>
    <t>CHAVE DE BOIA AUTOMÁTICA SUPERIOR/INFERIOR 15A/250V - FORNECIMENTO E INSTALAÇÃO. AF_12/2020</t>
  </si>
  <si>
    <t>11.1.39</t>
  </si>
  <si>
    <t>VÁLVULA DE RETENÇÃO, DE BRONZE, PÉ COM CRIVOS, ROSCÁVEL, 1 1/2" - FORNECIMENTO E INSTALAÇÃO. AF_08/2021</t>
  </si>
  <si>
    <t>11.1.40</t>
  </si>
  <si>
    <t>VÁLVULA DE RETENÇÃO, DE BRONZE, PÉ COM CRIVOS, ROSCÁVEL, 3" - FORNECIMENTO E INSTALAÇÃO. AF_08/2021</t>
  </si>
  <si>
    <t>11.1.41</t>
  </si>
  <si>
    <t>HIDRÔMETRO DN 2” , 30 M³/H - FORNECIMENTO E INSTALAÇÃO. AF_03/2024</t>
  </si>
  <si>
    <t>11.1.42</t>
  </si>
  <si>
    <t>11.1.43</t>
  </si>
  <si>
    <t xml:space="preserve"> 04.03.477 </t>
  </si>
  <si>
    <t>CAIXA DE INSPEÇÃO 80X80</t>
  </si>
  <si>
    <t>11.2</t>
  </si>
  <si>
    <t>11.2.1</t>
  </si>
  <si>
    <t>TUBO PEAD LISO PARA REDE DE ÁGUA OU ESGOTO, DIÂMETRO DE 200 MM, JUNTA SOLDADA (NÃO INCLUI A EXECUÇÃO DE SOLDA) - FORNECIMENTO E ASSENTAMENTO. AF_12/2021</t>
  </si>
  <si>
    <t>11.2.2</t>
  </si>
  <si>
    <t>11.2.3</t>
  </si>
  <si>
    <t xml:space="preserve"> 94869 </t>
  </si>
  <si>
    <t>TUBO DE PEAD CORRUGADO DE DUPLA PAREDE PARA REDE COLETORA DE ESGOTO, DN 250 MM, JUNTA ELÁSTICA INTEGRADA - FORNECIMENTO E ASSENTAMENTO. AF_01/2021</t>
  </si>
  <si>
    <t>11.2.4</t>
  </si>
  <si>
    <t xml:space="preserve"> 04.03.476 </t>
  </si>
  <si>
    <t>CAIXA CILÍNDRICA 100 - 1000MM</t>
  </si>
  <si>
    <t>11.3</t>
  </si>
  <si>
    <t>11.3.1</t>
  </si>
  <si>
    <t>BRAÇO PARA ILUMINAÇÃO PÚBLICA, EM TUBO DE AÇO GALVANIZADO, COMPRIMENTO DE 1,50 M, PARA FIXAÇÃO EM POSTE METÁLICO - FORNECIMENTO E INSTALAÇÃO. AF_08/2020</t>
  </si>
  <si>
    <t>CE1</t>
  </si>
  <si>
    <t>CE1A</t>
  </si>
  <si>
    <t>CE2-TR</t>
  </si>
  <si>
    <t>CE2-CE3</t>
  </si>
  <si>
    <t>11.3.2</t>
  </si>
  <si>
    <t>ALÇA PREFORMADA DE DISTRIBUIÇÃO, EM AÇO GALVANIZADO, AWG 1 - FORNECIMENTO E INSTALAÇÃO. AF_07/2020</t>
  </si>
  <si>
    <t>CE2</t>
  </si>
  <si>
    <t>C2.3</t>
  </si>
  <si>
    <t>CE3-TR</t>
  </si>
  <si>
    <t>CE3</t>
  </si>
  <si>
    <t>11.3.3</t>
  </si>
  <si>
    <t>CONECTOR GRAMPO METÁLICO TIPO OLHAL, PARA SPDA, PARA HASTE DE ATERRAMENTO DE 5/8'' E CABOS DE 10 A 50 MM2 - FORNECIMENTO E INSTALAÇÃO. AF_08/2023</t>
  </si>
  <si>
    <t>11.3.4</t>
  </si>
  <si>
    <t>73767/001</t>
  </si>
  <si>
    <t>GRAMPO PARALELO EM ALUMINIO FUNDIDO OU ESTRUDADO DE 2 PARAFUSOS, PARA CABO DE 6 A 50 MM2, PASTA ANTIOXIDANTE. FORNEC E INSTALAÇÃO.</t>
  </si>
  <si>
    <t>11.3.5</t>
  </si>
  <si>
    <t>BRAÇO PARA ILUMINAÇÃO PÚBLICA, EM TUBO DE AÇO GALVANIZADO, COMPRIMENTO DE 1,50 M, PARA FIXAÇÃO EM POSTE DE CONCRETO - FORNECIMENTO E INSTALAÇÃO. AF_08/2020</t>
  </si>
  <si>
    <t>11.3.6</t>
  </si>
  <si>
    <t>11.3.7</t>
  </si>
  <si>
    <t>CONECTOR GRAMPO PARALELO METÁLICO, PARA SPDA, PARA CABOS DE 6 A 50 MM2 - FORNECIMENTO E INSTALAÇÃO. AF_08/2023</t>
  </si>
  <si>
    <t>11.3.8</t>
  </si>
  <si>
    <t>ISOLADOR, TIPO PINO, PARA TENSÃO 15 KV - FORNECIMENTO E INSTALAÇÃO. AF_07/2020</t>
  </si>
  <si>
    <t>11.3.9</t>
  </si>
  <si>
    <t>TRANSFORMADOR DE DISTRIBUIÇÃO, 45 KVA, TRIFÁSICO, 60 HZ, CLASSE 15 KV, IMERSO EM ÓLEO MINERAL, INSTALAÇÃO EM POSTE (NÃO INCLUSO SUPORTE) - FORNECIMENTO E INSTALAÇÃO. AF_12/2020</t>
  </si>
  <si>
    <t>11.3.10</t>
  </si>
  <si>
    <t>TRANSFORMADOR DE DISTRIBUIÇÃO, 300 KVA, TRIFÁSICO, 60 HZ, CLASSE 15 KV, IMERSO EM ÓLEO MINERAL, INSTALAÇÃO EM POSTE (NÃO INCLUSO SUPORTE) - FORNECIMENTO E INSTALAÇÃO. AF_12/2020</t>
  </si>
  <si>
    <t>11.3.11</t>
  </si>
  <si>
    <t>TRANSFORMADOR DE DISTRIBUIÇÃO, 30 KVA, TRIFÁSICO, 60 HZ, CLASSE 15 KV, IMERSO EM ÓLEO MINERAL, INSTALAÇÃO EM POSTE (NÃO INCLUSO SUPORTE) - FORNECIMENTO E INSTALAÇÃO. AF_12/2020</t>
  </si>
  <si>
    <t>11.3.12</t>
  </si>
  <si>
    <t>SUPORTE MÃO FRANCESA EM ACO, ABAS IGUAIS 40 CM, CAPACIDADE MINIMA 70 KG, BRANCO - FORNECIMENTO E INSTALAÇÃO. AF_01/2020</t>
  </si>
  <si>
    <t>11.3.13</t>
  </si>
  <si>
    <t xml:space="preserve">	101556</t>
  </si>
  <si>
    <t>ALÇA PREFORMADA DE DISTRIBUIÇÃO, EM AÇO GALVANIZADO, AWG 6 - FORNECIMENTO E INSTALAÇÃO. AF_07/2020</t>
  </si>
  <si>
    <t>11.3.14</t>
  </si>
  <si>
    <t>TRANSFORMADOR DE DISTRIBUIÇÃO, 75 KVA, TRIFÁSICO, 60 HZ, CLASSE 15 KV, IMERSO EM ÓLEO MINERAL, INSTALAÇÃO EM POSTE (NÃO INCLUSO SUPORTE) - FORNECIMENTO E INSTALAÇÃO. AF_12/2020</t>
  </si>
  <si>
    <t>11.3.15</t>
  </si>
  <si>
    <t>TRANSFORMADOR DE DISTRIBUIÇÃO, 225 KVA, TRIFÁSICO, 60 HZ, CLASSE 15 KV, IMERSO EM ÓLEO MINERAL, INSTALAÇÃO EM POSTE (NÃO INCLUSO SUPORTE) - FORNECIMENTO E INSTALAÇÃO. AF_12/2020</t>
  </si>
  <si>
    <t>11.3.16</t>
  </si>
  <si>
    <t>11.3.17</t>
  </si>
  <si>
    <t>11.3.18</t>
  </si>
  <si>
    <t>11.3.19</t>
  </si>
  <si>
    <t>11.3.20</t>
  </si>
  <si>
    <t xml:space="preserve"> 04.03.518 </t>
  </si>
  <si>
    <t>CONECTOR COMP COBRE 1/0-2/0/ F8- 2AWG</t>
  </si>
  <si>
    <t>11.3.21</t>
  </si>
  <si>
    <t xml:space="preserve"> 04.03.458 </t>
  </si>
  <si>
    <t>ARRUELA LIS QUAD SAE1020 M18</t>
  </si>
  <si>
    <t>11.3.22</t>
  </si>
  <si>
    <t xml:space="preserve"> 04.03.558 </t>
  </si>
  <si>
    <t>GANCHO SUSP OLHAL</t>
  </si>
  <si>
    <t>11.3.23</t>
  </si>
  <si>
    <t xml:space="preserve"> 04.03.579 </t>
  </si>
  <si>
    <t>MANILHA CURVA SAE1010 16,0MM 5000DAN</t>
  </si>
  <si>
    <t>11.3.24</t>
  </si>
  <si>
    <t xml:space="preserve"> 04.03.580 </t>
  </si>
  <si>
    <t>MANILHA SAPATILHA ACO 5000DAN</t>
  </si>
  <si>
    <t>11.3.25</t>
  </si>
  <si>
    <t xml:space="preserve"> 04.03.587 </t>
  </si>
  <si>
    <t xml:space="preserve">PARAFUSO ABAU ACO CARB M16X45MM </t>
  </si>
  <si>
    <t>11.3.26</t>
  </si>
  <si>
    <t xml:space="preserve"> 04.03.588 </t>
  </si>
  <si>
    <t xml:space="preserve">PARAFUSO ABAU ACO CARB M16X70MM </t>
  </si>
  <si>
    <t>11.3.27</t>
  </si>
  <si>
    <t xml:space="preserve"> 04.03.457 </t>
  </si>
  <si>
    <t xml:space="preserve">ARRUELA LIS CIRC SAE1020 M18 </t>
  </si>
  <si>
    <t>11.3.28</t>
  </si>
  <si>
    <t xml:space="preserve"> 04.03.559 </t>
  </si>
  <si>
    <t>GRAMPO LINHA VIVA BR</t>
  </si>
  <si>
    <t>11.3.29</t>
  </si>
  <si>
    <t xml:space="preserve"> 04.03.484 </t>
  </si>
  <si>
    <t>CABO AEREO COBRE XLPE 15KV 16,00MM2</t>
  </si>
  <si>
    <t>11.3.30</t>
  </si>
  <si>
    <t xml:space="preserve"> 04.03.509 </t>
  </si>
  <si>
    <t>CHAVE FUS DIST C 15KV 100A 7,1KA</t>
  </si>
  <si>
    <t>11.3.31</t>
  </si>
  <si>
    <t xml:space="preserve"> 04.03.592 </t>
  </si>
  <si>
    <t>PARA-RAIOS A ÓXIDOS METÁLICOS, SEM CENTELHADOR, COM DESLIGADOR AUTOMÁTICO E INVÓLUCRO POLIMÉRICO, 12 KV, 10 KA</t>
  </si>
  <si>
    <t>11.3.32</t>
  </si>
  <si>
    <t xml:space="preserve"> 04.03.565 </t>
  </si>
  <si>
    <t>ISOLADOR PEDESTAL PORCELANA CLASSE 15 15KV</t>
  </si>
  <si>
    <t>11.3.33</t>
  </si>
  <si>
    <t xml:space="preserve"> 04.03.517 </t>
  </si>
  <si>
    <t>CONECTOR COMP ALUM 2/0-4/0/ 1,5- 10MM2</t>
  </si>
  <si>
    <t>11.3.34</t>
  </si>
  <si>
    <t>04.03.701</t>
  </si>
  <si>
    <t>CANTONEIRA 65X65X900MM</t>
  </si>
  <si>
    <t>11.3.35</t>
  </si>
  <si>
    <t>04.03.520</t>
  </si>
  <si>
    <t>CONECTOR DERIVAÇÃO, COMPRESSÃO, PARALELO, FORMATO ”H” PARA CONDUTORES CA-CAA E COBRE</t>
  </si>
  <si>
    <t>11.3.36</t>
  </si>
  <si>
    <t>04.03.734</t>
  </si>
  <si>
    <t>CONECTOR DERIVACAO TIPO ESTRIBO</t>
  </si>
  <si>
    <t>11.3.37</t>
  </si>
  <si>
    <t>04.03.735</t>
  </si>
  <si>
    <t>CRUZETA FIBRA RETA 90X90 2,4M REFORCADA</t>
  </si>
  <si>
    <t>11.3.38</t>
  </si>
  <si>
    <t>04.03.743</t>
  </si>
  <si>
    <t>ESPAC RD PROT 15kV AUT-TRA POL 70MM2</t>
  </si>
  <si>
    <t>11.3.39</t>
  </si>
  <si>
    <t>04.03.744</t>
  </si>
  <si>
    <t>ESTRIBO BRACO L</t>
  </si>
  <si>
    <t>11.3.40</t>
  </si>
  <si>
    <t>04.03.729</t>
  </si>
  <si>
    <t>FIO ALUM COBERTO 10MM2</t>
  </si>
  <si>
    <t>11.3.41</t>
  </si>
  <si>
    <t>11.3.42</t>
  </si>
  <si>
    <t>11.3.43</t>
  </si>
  <si>
    <t>04.03.587</t>
  </si>
  <si>
    <t>PARAFUSO QUAD ACO CARB M16X50MM</t>
  </si>
  <si>
    <t>11.3.44</t>
  </si>
  <si>
    <t>04.03.707</t>
  </si>
  <si>
    <t>PERFIL U ACO GALV 76X38X6,5X900MM</t>
  </si>
  <si>
    <t>11.3.45</t>
  </si>
  <si>
    <t>04.03.708</t>
  </si>
  <si>
    <t>PINO ISOL ACO 16,0MM 154X38X192MM</t>
  </si>
  <si>
    <t>11.3.46</t>
  </si>
  <si>
    <t>04.03.709</t>
  </si>
  <si>
    <t>PINO ISOLADOR RETO NORMAL ACO 15,0KV</t>
  </si>
  <si>
    <t>11.3.47</t>
  </si>
  <si>
    <t>04.03.712</t>
  </si>
  <si>
    <t>PORCA QUAD SAE1020 M16</t>
  </si>
  <si>
    <t>11.3.48</t>
  </si>
  <si>
    <t>11.3.49</t>
  </si>
  <si>
    <t>SUPORTE PARA TRANSFORMADOR EM POSTE DE CONCRETO DUPLO T - FORNECIMENTO E INSTALAÇÃO. AF_12/2020</t>
  </si>
  <si>
    <t>11.3.50</t>
  </si>
  <si>
    <t>04.03.757</t>
  </si>
  <si>
    <t>SUPORTE REDE PROT HORIZ 675X300X60MM</t>
  </si>
  <si>
    <t>11.3.51</t>
  </si>
  <si>
    <t>04.03.758</t>
  </si>
  <si>
    <t>SUPORTE REDE PROT TIPO Z 85X113X85MM</t>
  </si>
  <si>
    <t>11.3.52</t>
  </si>
  <si>
    <t>11.4</t>
  </si>
  <si>
    <t>SUBSTAÇÃO</t>
  </si>
  <si>
    <t>11.4.1</t>
  </si>
  <si>
    <t>11.4.2</t>
  </si>
  <si>
    <t>11.4.3</t>
  </si>
  <si>
    <t>11.4.4</t>
  </si>
  <si>
    <t>CURVA 90 GRAUS, EM AÇO, CONEXÃO SOLDADA, DN 50 (2"), INSTALADO EM REDE DE ALIMENTAÇÃO PARA HIDRANTE - FORNECIMENTO E INSTALAÇÃO. AF_10/2020</t>
  </si>
  <si>
    <t>11.4.5</t>
  </si>
  <si>
    <t xml:space="preserve">	ELETRODUTO RÍGIDO ROSCÁVEL, PVC, DN 20 MM (1/2"), PARA CIRCUITOS TERMINAIS, INSTALADO EM FORRO - FORNECIMENTO E INSTALAÇÃO. AF_03/2023</t>
  </si>
  <si>
    <t>11.4.6</t>
  </si>
  <si>
    <t>11.4.7</t>
  </si>
  <si>
    <t>11.4.8</t>
  </si>
  <si>
    <t>JANELA DE ALUMÍNIO DE CORRER COM 3 FOLHAS (2 VENEZIANAS E 1 PARA VIDRO), COM VIDROS, BATENTE E FERRAGENS. EXCLUSIVE ACABAMENTO, ALIZAR E CONTRAMARCO. FORNECIMENTO E INSTALAÇÃO. AF_12/2019</t>
  </si>
  <si>
    <t>11.4.9</t>
  </si>
  <si>
    <t>11.4.10</t>
  </si>
  <si>
    <t>11.4.11</t>
  </si>
  <si>
    <t>11.4.12</t>
  </si>
  <si>
    <t>11.4.13</t>
  </si>
  <si>
    <t>ISOLADOR, TIPO DISCO, PARA TENSÃO 15 KV - FORNECIMENTO E INSTALAÇÃO. AF_07/2020</t>
  </si>
  <si>
    <t>11.4.14</t>
  </si>
  <si>
    <t xml:space="preserve"> 04.03.475 </t>
  </si>
  <si>
    <t>CABO DE COBRE NU, MEIO DURO, 10MM2</t>
  </si>
  <si>
    <t>11.4.15</t>
  </si>
  <si>
    <t xml:space="preserve"> 04.03.520 </t>
  </si>
  <si>
    <t>CONECTOR DERIVAÇÃO, COMPRESSÃO, PARALELO, FORMATO "H" PARA CONDUTORES CA-CAA E COBRE</t>
  </si>
  <si>
    <t>11.4.16</t>
  </si>
  <si>
    <t>11.4.17</t>
  </si>
  <si>
    <t xml:space="preserve"> 04.03.486 </t>
  </si>
  <si>
    <t>CAIXA DE MEDIÇÃO TIPO A1 (100 X 100 X 30 CM)</t>
  </si>
  <si>
    <t>11.4.18</t>
  </si>
  <si>
    <t xml:space="preserve"> 04.03.460 </t>
  </si>
  <si>
    <t>ARRUELA PARA FIXAÇÃO DE ELETRODUTO</t>
  </si>
  <si>
    <t>11.4.19</t>
  </si>
  <si>
    <t xml:space="preserve"> 04.03.470 </t>
  </si>
  <si>
    <t>BUCHA DE PASSAGEM</t>
  </si>
  <si>
    <t>11.4.20</t>
  </si>
  <si>
    <t xml:space="preserve"> 04.03.563 </t>
  </si>
  <si>
    <t>ILUMINAÇÃO INTERNA</t>
  </si>
  <si>
    <t>11.4.21</t>
  </si>
  <si>
    <t xml:space="preserve"> 04.03.678 </t>
  </si>
  <si>
    <t>PORTA METÁLICA DE 1600 X 2100 MM (DUAS FOLHAS)</t>
  </si>
  <si>
    <t>11.4.22</t>
  </si>
  <si>
    <t>11.4.23</t>
  </si>
  <si>
    <t xml:space="preserve"> 04.03.511 </t>
  </si>
  <si>
    <t>CHUMBADOR PARA ROSCA M16</t>
  </si>
  <si>
    <t>11.4.24</t>
  </si>
  <si>
    <t>11.5</t>
  </si>
  <si>
    <t>4011209 - SICRO</t>
  </si>
  <si>
    <t>REGULARIZAÇÃO DO SUBLEITO</t>
  </si>
  <si>
    <t>4011276 - SICRO</t>
  </si>
  <si>
    <t>BASE OU SUB-BASE DE BRITA GRADUADA COM BRITA COMERCIAL</t>
  </si>
  <si>
    <t>EXECUÇÃO DE PAVIMENTO DE CONCRETO ARMADO (PCA), FCK = 30 MPA, ESPESSURA 15CM</t>
  </si>
  <si>
    <t>EXECUÇÃO DE PASSEIO (CALÇADA) OU PISO DE CONCRETO COM CONCRETO MOLDADO IN LOCO, FEITO EM OBRA, ACABAMENTO CONVENCIONAL, ESPESSURA 8 CM, ARMADO. AF_08/2022</t>
  </si>
  <si>
    <t>VAGA CARRO DE FORA</t>
  </si>
  <si>
    <t>VAGA MOTO DE FORA</t>
  </si>
  <si>
    <t>FAIXAS CADEIRANTES</t>
  </si>
  <si>
    <t>VAGAS INTERNAS CARRO</t>
  </si>
  <si>
    <t>VAGAS INTERNAS MOTO</t>
  </si>
  <si>
    <t>ACESSO CARROS</t>
  </si>
  <si>
    <t>ACESSO PEDESTRES</t>
  </si>
  <si>
    <t>RAMPA ENTRADA</t>
  </si>
  <si>
    <t>11.6</t>
  </si>
  <si>
    <t>11.6.1</t>
  </si>
  <si>
    <t>04.03.721</t>
  </si>
  <si>
    <t>PAISAGISMO ACIDES</t>
  </si>
  <si>
    <t>11.7</t>
  </si>
  <si>
    <t>11.7.1</t>
  </si>
  <si>
    <t>2003377</t>
  </si>
  <si>
    <t>MEIO-FIO DE CONCRETO - MFC 05 - AREIA E BRITA COMERCIAIS - FÔRMA DE MADEIRA</t>
  </si>
  <si>
    <t>11.7.2</t>
  </si>
  <si>
    <t>Poço de visita - PVI 12 - areia e brita comerciais</t>
  </si>
  <si>
    <t>11.7.3</t>
  </si>
  <si>
    <t>11.7.4</t>
  </si>
  <si>
    <t>Tubo PEAD para drenagem - D = 400 mm - fornecimento e instalação</t>
  </si>
  <si>
    <t>11.7.5</t>
  </si>
  <si>
    <t>Tubo PEAD para drenagem - D = 500 mm - fornecimento e instalação</t>
  </si>
  <si>
    <t>11.7.6</t>
  </si>
  <si>
    <t>Boca de lobo combinada - chapéu e grelha simples - BLC 02 - areia e brita comerciais</t>
  </si>
  <si>
    <t>11.7.7</t>
  </si>
  <si>
    <t>11.7.8</t>
  </si>
  <si>
    <t>Chaminé dos poços de visita - CPV 03 - areia e brita comerciais</t>
  </si>
  <si>
    <t>11.8</t>
  </si>
  <si>
    <t>ETE - FOSSA SÉPTICA E FILTRO ANAERÓBIO</t>
  </si>
  <si>
    <t>11.8.1</t>
  </si>
  <si>
    <t>11.9</t>
  </si>
  <si>
    <t>RESERVATÓRIO DE ABASTECIMENTO</t>
  </si>
  <si>
    <t>11.9.1</t>
  </si>
  <si>
    <t>RI</t>
  </si>
  <si>
    <t>11.9.2</t>
  </si>
  <si>
    <t>11.9.3</t>
  </si>
  <si>
    <t>FUNDAÇÃO</t>
  </si>
  <si>
    <t>11.9.4</t>
  </si>
  <si>
    <t>11.9.5</t>
  </si>
  <si>
    <t>11.9.6</t>
  </si>
  <si>
    <t>11.9.7</t>
  </si>
  <si>
    <t>FABRICAÇÃO DE FÔRMA PARA PILARES E ESTRUTURAS SIMILARES, EM CHAPA DE MADEIRA COMPENSADA PLASTIFICADA, E = 18 MM. AF_09/2020</t>
  </si>
  <si>
    <t>11.9.8</t>
  </si>
  <si>
    <t xml:space="preserve"> 04.03.174 </t>
  </si>
  <si>
    <t>RESERVATÓRIOS</t>
  </si>
  <si>
    <t>11.9.9</t>
  </si>
  <si>
    <t>BLOCOS</t>
  </si>
  <si>
    <t>11.9.10</t>
  </si>
  <si>
    <t xml:space="preserve"> 04.03.279 </t>
  </si>
  <si>
    <t>REGULARIZAÇÃO DE SUPERFÍCIE COM ARGAMASSA DE CIMENTO E AREIA NO TRAÇO 1 4, COM 2,0 CM DE ESPESSURA, COM ADITIVO IMPERMEABILIZANTE.</t>
  </si>
  <si>
    <t>11.9.11</t>
  </si>
  <si>
    <t>11.9.12</t>
  </si>
  <si>
    <t>11.9.13</t>
  </si>
  <si>
    <t>11.9.14</t>
  </si>
  <si>
    <t>11.9.15</t>
  </si>
  <si>
    <t>FABRICAÇÃO, MONTAGEM E DESMONTAGEM DE FORMA PARA RADIER, PISO DE CONCRETO OU LAJE SOBRE SOLO, EM MADEIRA SERRADA, 4 UTILIZAÇÕES. AF_09/2021</t>
  </si>
  <si>
    <t>11.9.16</t>
  </si>
  <si>
    <t>11.9.17</t>
  </si>
  <si>
    <t>11.9.18</t>
  </si>
  <si>
    <t>11.10</t>
  </si>
  <si>
    <t>MASTRO</t>
  </si>
  <si>
    <t>11.10.1</t>
  </si>
  <si>
    <t>04.03.728</t>
  </si>
  <si>
    <t>11.11</t>
  </si>
  <si>
    <t>REUSO</t>
  </si>
  <si>
    <t>11.11.1</t>
  </si>
  <si>
    <t>TUBO, PVC, SOLDÁVEL, DN  25 MM, INSTALADO EM RESERVAÇÃO PREDIAL DE ÁGUA - FORNECIMENTO E INSTALAÇÃO. AF_04/2024</t>
  </si>
  <si>
    <t>11.11.2</t>
  </si>
  <si>
    <t>11.11.3</t>
  </si>
  <si>
    <t>11.11.4</t>
  </si>
  <si>
    <t>CURVA 90 GRAUS PARA ELETRODUTO, PVC, ROSCÁVEL, DN 32 MM (1”), PARA CIRCUITOS TERMINAIS, INSTALADA EM FORRO - FORNECIMENTO E INSTALAÇÃO. AF_03/2023</t>
  </si>
  <si>
    <t>11.11.5</t>
  </si>
  <si>
    <t>11.11.6</t>
  </si>
  <si>
    <t>JOELHO 90 GRAUS, PVC, SOLDÁVEL, DN 32MM, INSTALADO EM RAMAL DE DISTRIBUIÇÃO DE ÁGUA - FORNECIMENTO E INSTALAÇÃO. AF_06/2022</t>
  </si>
  <si>
    <t>11.11.7</t>
  </si>
  <si>
    <t>11.11.8</t>
  </si>
  <si>
    <t>LUVA, PVC, SOLDÁVEL, DN 32MM, INSTALADO EM PRUMADA DE ÁGUA - FORNECIMENTO E INSTALAÇÃO. AF_06/2022</t>
  </si>
  <si>
    <t>11.11.9</t>
  </si>
  <si>
    <t>11.11.10</t>
  </si>
  <si>
    <t>TÊ DE REDUÇÃO, PVC, SOLDÁVEL, DN 32MM X 25MM, INSTALADO EM PRUMADA DE ÁGUA - FORNECIMENTO E INSTALAÇÃO. AF_06/2022</t>
  </si>
  <si>
    <t>11.11.11</t>
  </si>
  <si>
    <t>11.11.12</t>
  </si>
  <si>
    <t>LUVA COM BUCHA DE LATÃO, PVC, SOLDÁVEL, DN 25MM X 3/4 , INSTALADO EM RAMAL OU SUB-RAMAL DE ÁGUA - FORNECIMENTO E INSTALAÇÃO. AF_06/2022</t>
  </si>
  <si>
    <t>11.11.13</t>
  </si>
  <si>
    <t>REGISTRO DE ESFERA, PVC, ROSCÁVEL, COM VOLANTE, 1” - FORNECIMENTO E INSTALAÇÃO. AF_08/2021</t>
  </si>
  <si>
    <t>11.11.14</t>
  </si>
  <si>
    <t>11.11.15</t>
  </si>
  <si>
    <t>CAIXA ENTERRADA HIDRÁULICA RETANGULAR EM ALVENARIA COM TIJOLOS CERÂMICOS MACIÇOS, DIMENSÕES INTERNAS: 0,8X0,8X0,6 M PARA REDE DE DRENAGEM. AF_12/2020</t>
  </si>
  <si>
    <t>11.11.16</t>
  </si>
  <si>
    <t>04.03.700</t>
  </si>
  <si>
    <t>CAIXA EM ALVENARIA COM GRADE #5X5CM PARA FILTRO DE FOLHAS - 1200 X 1200MM</t>
  </si>
  <si>
    <t>11.11.17</t>
  </si>
  <si>
    <t>04.03.609</t>
  </si>
  <si>
    <t>TUBO PVC, SÉRIE R, ÁGUA PLUVIAL, DN 300 MM, FORNECIDO E INSTALADO EM CONDUTORES VERTICAIS DE ÁGUAS PLUVIAIS. AF_06/2022</t>
  </si>
  <si>
    <t>11.11.18</t>
  </si>
  <si>
    <t>04.03.765</t>
  </si>
  <si>
    <t>TUBO PVC, SÉRIE R, ÁGUA PLUVIAL, DN 400 MM, FORNECIDO E INSTALADO EM CONDUTORES VERTICAIS DE ÁGUAS PLUVIAIS.</t>
  </si>
  <si>
    <t>11.11.19</t>
  </si>
  <si>
    <t>04.03.717</t>
  </si>
  <si>
    <t>SISTEMA DE PRESSURIZAÇÃO COM TANQUE HIDROPNEUMÁTICO MONOFÁSICO - HMAN=20MCA, VAZÃO:7,4M3/H, POT.=1CV</t>
  </si>
  <si>
    <t>11.12</t>
  </si>
  <si>
    <t>ILUMINAÇÃO EXTERNA</t>
  </si>
  <si>
    <t>11.12.1</t>
  </si>
  <si>
    <t>ELETRODUTO FLEXÍVEL LISO, PEAD, DN 32 MM (1"), PARA CIRCUITOS TERMINAIS, INSTALADO EM PAREDE - FORNECIMENTO E INSTALAÇÃO. AF_03/2023</t>
  </si>
  <si>
    <t>11.12.2</t>
  </si>
  <si>
    <t>ELETRODUTO FLEXÍVEL LISO, PEAD, DN 40 MM (1 1/4"), PARA CIRCUITOS TERMINAIS, INSTALADO EM LAJE - FORNECIMENTO E INSTALAÇÃO. AF_03/2023</t>
  </si>
  <si>
    <t>11.12.3</t>
  </si>
  <si>
    <t>04.03.627</t>
  </si>
  <si>
    <t>11.12.4</t>
  </si>
  <si>
    <t>04.03.771</t>
  </si>
  <si>
    <t>POSTE DE TUBO GALVANIZADO - D=76MM, L= 6,0M - LUMINÁRIA DUPLA</t>
  </si>
  <si>
    <t>11.12.5</t>
  </si>
  <si>
    <t>LUMINÁRIA ABERTA PARA ILUMINAÇÃO PÚBLICA, PARA LÂMPADA VAPOR DE MERCÚRIO ATÉ 400 W E MISTA ATÉ 500 W, COM BRAÇO EM TUBO DE AÇO GALV 1", COMPRIMENTO DE 1,50 M, PARA POSTE DE CONCRETO - FORNECIMENTO E INSTALAÇÃO (EXCLUSIVE LÂMPADA E REATOR). AF_08/2020</t>
  </si>
  <si>
    <t>11.12.6</t>
  </si>
  <si>
    <t>04.03.714</t>
  </si>
  <si>
    <t>POSTE EM TUBO DE AÇO ZINCADO E PINTADO COM ALTURA DE 3,00m COM UMA LUMINÁRIA EM CHAPA DE LIGA DE ALUMÍNIO, ALETAS PARA DISSIPAÇÃO DO CALOR E LENTES PARA LÂMPADA LED DE 100 WATTS</t>
  </si>
  <si>
    <t>11.12.7</t>
  </si>
  <si>
    <t>CAIXA ENTERRADA HIDRÁULICA RETANGULAR EM ALVENARIA COM TIJOLOS CERÂMICOS MACIÇOS, DIMENSÕES INTERNAS: 0,6X0,6X0,6 M PARA REDE DE DRENAGEM. AF_12/2020</t>
  </si>
  <si>
    <t>11.12.8</t>
  </si>
  <si>
    <t>11.12.9</t>
  </si>
  <si>
    <t>11.12.10</t>
  </si>
  <si>
    <t>11.12.11</t>
  </si>
  <si>
    <t>04.03.739</t>
  </si>
  <si>
    <t>DISJUNTOR MOTOR TRIPOLAR 6,3A</t>
  </si>
  <si>
    <t>11.12.12</t>
  </si>
  <si>
    <t>CONTATOR TRIPOLAR I NOMIMAL 95A - FORNECIMENTO E INSTALAÇÃO. AF_10/2020</t>
  </si>
  <si>
    <t>11.12.13</t>
  </si>
  <si>
    <t>04.03.716</t>
  </si>
  <si>
    <t>RELÉ TÉRMICO 1NA+1NF 3,75A-5,5A</t>
  </si>
  <si>
    <t>11.12.14</t>
  </si>
  <si>
    <t>04.03.755</t>
  </si>
  <si>
    <t>CAIXA PARA QUADRO DE COMANDO METÁLICA DE SOBREPOR 20X20X12 CM</t>
  </si>
  <si>
    <t>11.12.15</t>
  </si>
  <si>
    <t>04.03.738</t>
  </si>
  <si>
    <t>DISJUNTOR MOTOR TRIPOLAR 2,5A</t>
  </si>
  <si>
    <t>11.12.16</t>
  </si>
  <si>
    <t>04.03.754</t>
  </si>
  <si>
    <t>CAIXA PARA QUADRO DE COMANDO METÁLICA DE SOBREPOR 40X30X20 CM</t>
  </si>
  <si>
    <t>11.12.17</t>
  </si>
  <si>
    <t>11.12.18</t>
  </si>
  <si>
    <t>11.12.19</t>
  </si>
  <si>
    <t>11.12.20</t>
  </si>
  <si>
    <t>11.12.21</t>
  </si>
  <si>
    <t>11.12.22</t>
  </si>
  <si>
    <t>11.12.23</t>
  </si>
  <si>
    <t>04.03.737</t>
  </si>
  <si>
    <t>DISJUNTOR CAIXA MOLDADA TRIPOLAR 120A</t>
  </si>
  <si>
    <t>11.12.24</t>
  </si>
  <si>
    <t>04.03.538</t>
  </si>
  <si>
    <t>11.12.25</t>
  </si>
  <si>
    <t>04.03.545</t>
  </si>
  <si>
    <t>11.12.26</t>
  </si>
  <si>
    <t>11.12.27</t>
  </si>
  <si>
    <t>CABO DE COBRE FLEXÍVEL ISOLADO, 25 MM², 0,6/1,0 KV, PARA REDE AÉREA DE DISTRIBUIÇÃO DE ENERGIA ELÉTRICA DE BAIXA TENSÃO - FORNECIMENTO E INSTALAÇÃO. AF_07/2020</t>
  </si>
  <si>
    <t>11.12.28</t>
  </si>
  <si>
    <t>11.12.29</t>
  </si>
  <si>
    <t xml:space="preserve">BDI FORNECIMENTO </t>
  </si>
  <si>
    <t>5.11</t>
  </si>
  <si>
    <t>5.12</t>
  </si>
  <si>
    <t>5.13</t>
  </si>
  <si>
    <t>5.15</t>
  </si>
  <si>
    <t>JOELHO 45 GRAUS, EM FERRO GALVANIZADO, CONEXÃO ROSQUEADA, DN 25 (1"), INSTALADO EM RAMAIS E SUB-RAMAIS DE GÁS - FORNECIMENTO E INSTALAÇÃO. AF_10/2020</t>
  </si>
  <si>
    <t>TE DE REDUÇÃO, EM FERRO GALVANIZADO, CONEXÃO ROSQUEADA, DN 1 1/4" X 1", INSTALADO EM RAMAIS E SUB-RAMAIS DE GÁS - FORNECIMENTO E INSTALAÇÃO.</t>
  </si>
  <si>
    <t>9.11</t>
  </si>
  <si>
    <t>13.2</t>
  </si>
  <si>
    <t>5.14</t>
  </si>
  <si>
    <t>TRATAMENTO DE JUNTA DE DILATAÇÃO, COM TARUGO DE POLIETILENO E SELANTE PU, INCLUSO PREENCHIMENTO COM ESPUMA EXPANSIVA PU. AF_09/2023</t>
  </si>
  <si>
    <t>13.1</t>
  </si>
  <si>
    <t>14.1</t>
  </si>
  <si>
    <t>14.2</t>
  </si>
  <si>
    <t>15.1</t>
  </si>
  <si>
    <t>16.1</t>
  </si>
  <si>
    <t>ITEM</t>
  </si>
  <si>
    <t>MÊS</t>
  </si>
  <si>
    <t>CHP</t>
  </si>
  <si>
    <t>CHI</t>
  </si>
  <si>
    <t xml:space="preserve"> 00001287 </t>
  </si>
  <si>
    <t>TOTAL</t>
  </si>
  <si>
    <t>CRONOGRAMA FÍSICO E FINANCEIRO</t>
  </si>
  <si>
    <t>DESCRIÇÃO DAS ETAPAS</t>
  </si>
  <si>
    <t>VALOR TOTAL DA ETAPA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</si>
  <si>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</si>
  <si>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</si>
  <si>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</si>
  <si>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</si>
  <si>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</si>
  <si>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</si>
  <si>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</si>
  <si>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</si>
  <si>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</si>
  <si>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</si>
  <si>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OBRA CONSTRUÇÃO</t>
  </si>
  <si>
    <t>PREDIO PRINCIPAL</t>
  </si>
  <si>
    <t>5.2</t>
  </si>
  <si>
    <t>5.3</t>
  </si>
  <si>
    <t>5.4</t>
  </si>
  <si>
    <t>5.5</t>
  </si>
  <si>
    <t xml:space="preserve">IMPERMEABILIZAÇÃO </t>
  </si>
  <si>
    <t>5.6</t>
  </si>
  <si>
    <t>5.7</t>
  </si>
  <si>
    <t>5.9</t>
  </si>
  <si>
    <t>5.10</t>
  </si>
  <si>
    <t>INSTALAÇÕES ELETRICAS</t>
  </si>
  <si>
    <t>INSTALAÇÕES HIDROSANITARIAS</t>
  </si>
  <si>
    <t xml:space="preserve">CLIMATIZAÇÃO </t>
  </si>
  <si>
    <t>PREDIO REFEITORIO</t>
  </si>
  <si>
    <t xml:space="preserve">VEDAÇÕES </t>
  </si>
  <si>
    <t>INSTALAÇÕES HIDROSSANITARIAS</t>
  </si>
  <si>
    <t>8.10</t>
  </si>
  <si>
    <t xml:space="preserve">	GUARITA / CASAS DE BOMBAS / LIXEIRA / GLP	</t>
  </si>
  <si>
    <t>11;1</t>
  </si>
  <si>
    <t>REDE DE ALIMENTAÇÃO DE AGUA FRIA</t>
  </si>
  <si>
    <t>11;2</t>
  </si>
  <si>
    <t>11;3</t>
  </si>
  <si>
    <t>REDE ELETRICA - DISTRIBUIÇÃO</t>
  </si>
  <si>
    <t>11;4</t>
  </si>
  <si>
    <t>11;5</t>
  </si>
  <si>
    <t>11;6</t>
  </si>
  <si>
    <t>11;7</t>
  </si>
  <si>
    <t>11;8</t>
  </si>
  <si>
    <t>11;9</t>
  </si>
  <si>
    <t>SISTEMA DE PROTEÇÃO CONTRA DESCARGAS ATMOSFERICAS -SPDA</t>
  </si>
  <si>
    <t>TOTAL PERCENTUAL</t>
  </si>
  <si>
    <t>TOTAL FINANCEIRO</t>
  </si>
  <si>
    <t xml:space="preserve"> 00007932 </t>
  </si>
  <si>
    <t xml:space="preserve"> 0000335 </t>
  </si>
  <si>
    <t xml:space="preserve"> 92702 </t>
  </si>
  <si>
    <t xml:space="preserve"> 00001623 </t>
  </si>
  <si>
    <t xml:space="preserve"> 00003988 </t>
  </si>
  <si>
    <t xml:space="preserve"> 11.9.27 </t>
  </si>
  <si>
    <t xml:space="preserve"> 98575 </t>
  </si>
  <si>
    <t xml:space="preserve"> 00002051 </t>
  </si>
  <si>
    <t>SINALIZAÇÃO DE OBRA NOTURNA</t>
  </si>
  <si>
    <t>GERADOR PORTÁTIL MONOFÁSICO, POTÊNCIA 5500 VA, MOTOR A GASOLINA, POTÊNCIA DO MOTOR 13 CV - CHP DIURNO. AF_03/2016</t>
  </si>
  <si>
    <t>GERADOR PORTÁTIL MONOFÁSICO, POTÊNCIA 5500 VA, MOTOR A GASOLINA, POTÊNCIA DO MOTOR 13 CV - CHI DIURNO. AF_03/2016</t>
  </si>
  <si>
    <t xml:space="preserve"> 00007917 </t>
  </si>
  <si>
    <t xml:space="preserve"> 3.15 </t>
  </si>
  <si>
    <t xml:space="preserve"> 93415 </t>
  </si>
  <si>
    <t xml:space="preserve"> 3.16 </t>
  </si>
  <si>
    <t xml:space="preserve"> 93416 </t>
  </si>
  <si>
    <t xml:space="preserve"> 95250 </t>
  </si>
  <si>
    <t xml:space="preserve"> 92384 </t>
  </si>
  <si>
    <t xml:space="preserve"> 00001288 </t>
  </si>
  <si>
    <t xml:space="preserve"> 00615 </t>
  </si>
  <si>
    <t>MOBILIZACAO E DESMOBILIZACAO DE EQUIPAMENTOS - CARGA E DESCARGA</t>
  </si>
  <si>
    <t>MOBILIZACAO E DESMOBILIZACAO DE EQUIPAMENTOS - TRANSPORTE</t>
  </si>
  <si>
    <t>EXECUÇÃO DOS APOIOS PARA CONTÊINER OU MÓDULO HABITÁVEL. AF_03/2024</t>
  </si>
  <si>
    <t>INSTALAÇÃO E DESINSTALAÇÃO MECANIZADA DE CONTÊINER OU MÓDULO HABITÁVEL DE USOS DIVERSOS. AF_03/2024</t>
  </si>
  <si>
    <t xml:space="preserve"> 00002698 </t>
  </si>
  <si>
    <t xml:space="preserve"> 00001400 </t>
  </si>
  <si>
    <t xml:space="preserve"> 3.17 </t>
  </si>
  <si>
    <t xml:space="preserve"> 3.18 </t>
  </si>
  <si>
    <t xml:space="preserve"> 3.19 </t>
  </si>
  <si>
    <t xml:space="preserve"> 3.20 </t>
  </si>
  <si>
    <t xml:space="preserve"> 105114 </t>
  </si>
  <si>
    <t xml:space="preserve"> 3.21 </t>
  </si>
  <si>
    <t xml:space="preserve"> 105115 </t>
  </si>
  <si>
    <t>BARRACAO PARA VESTIARIO DE OPERARIOS EM TABUAS</t>
  </si>
  <si>
    <t>LOCACAO DE CONTAINER 2,40 X 6,00 M, ALT. 2,50 M, PARA SANITARIO, COM 2 BACIAS, 4 CHUVEIROS, 2 LAVATORIOS E 2 MICTORIOS (NAO INCLUI MOBILIZACAO/DESMOBILIZACAO)</t>
  </si>
  <si>
    <t>MOBILIZAÇÃO OU DESMOBILIZAÇÃO DO CANTEIRO DE OBRAS - INCLUSIVE CARGA, DESCARGA E TRANSPORTE ETE CAETÉS</t>
  </si>
  <si>
    <t>MOBILIZACAO OU DESMOBILIZACAO DE CONTAINER ETE CAETES</t>
  </si>
  <si>
    <t>PREÇO TOTAL COM BDI:</t>
  </si>
  <si>
    <t xml:space="preserve"> 00008211 </t>
  </si>
  <si>
    <t xml:space="preserve"> 8003 </t>
  </si>
  <si>
    <t xml:space="preserve"> 00008216 </t>
  </si>
  <si>
    <t xml:space="preserve"> 00008217 </t>
  </si>
  <si>
    <t xml:space="preserve"> 3.22 </t>
  </si>
  <si>
    <t>BDI</t>
  </si>
  <si>
    <t>DESONERADO</t>
  </si>
  <si>
    <t>NÃO DESONERADO</t>
  </si>
  <si>
    <t>COMPOSIÇÃO ANALÍTICA DA TAXA DE BONIFICAÇÃO E DESPESAS INDIRETAS (BDI)</t>
  </si>
  <si>
    <t xml:space="preserve">COMPOSIÇÃO ANALÍTICA DA TAXA DE BONIFICAÇÃO E DESPESAS INDIRETAS (BDI) </t>
  </si>
  <si>
    <t>1.0</t>
  </si>
  <si>
    <t>CUSTOS INDIRETOS</t>
  </si>
  <si>
    <t>1.1</t>
  </si>
  <si>
    <t>Administração Central (AC)</t>
  </si>
  <si>
    <t>1.2</t>
  </si>
  <si>
    <t>Seguros + Garantia (S+G)</t>
  </si>
  <si>
    <t>1.3</t>
  </si>
  <si>
    <t>Despesas Financeiras (DF)</t>
  </si>
  <si>
    <t>1.4</t>
  </si>
  <si>
    <t>Risco ®</t>
  </si>
  <si>
    <t>2.0</t>
  </si>
  <si>
    <r>
      <t>IMPOSTOS/TRIBUTOS</t>
    </r>
    <r>
      <rPr>
        <sz val="11"/>
        <color rgb="FF000000"/>
        <rFont val="Century Gothic"/>
        <family val="2"/>
        <charset val="1"/>
      </rPr>
      <t xml:space="preserve"> (I)</t>
    </r>
  </si>
  <si>
    <t>Pis</t>
  </si>
  <si>
    <t>2.2</t>
  </si>
  <si>
    <t>Cofins</t>
  </si>
  <si>
    <t>2.3</t>
  </si>
  <si>
    <t>ISS</t>
  </si>
  <si>
    <t>2.4</t>
  </si>
  <si>
    <t>CPRB</t>
  </si>
  <si>
    <t>3.0</t>
  </si>
  <si>
    <r>
      <t xml:space="preserve">LUCRO  </t>
    </r>
    <r>
      <rPr>
        <sz val="11"/>
        <color rgb="FF000000"/>
        <rFont val="Century Gothic"/>
        <family val="2"/>
        <charset val="1"/>
      </rPr>
      <t>(L)</t>
    </r>
  </si>
  <si>
    <t>Lucro</t>
  </si>
  <si>
    <t>4.0</t>
  </si>
  <si>
    <t>TAXA TOTAL DE BDI</t>
  </si>
  <si>
    <t>Segundo Acórdão 2622/2013 do Tribunal de Contas da União – TCU, o cálculo do BDI deve ser feito da seguinte maneira:</t>
  </si>
  <si>
    <t>BDI DIFERENCIADO</t>
  </si>
  <si>
    <t>Segundo a Lei 14.973 da data 16 de setembro de 2024                                             Segundo Acórdão 2622/2013 do Tribunal de Contas da União – TCU, o cálculo do BDI deve ser feito da seguinte maneira:</t>
  </si>
  <si>
    <t>_______________________________________________________________
Responsável técnico</t>
  </si>
  <si>
    <t>ORÇAMENTO SINTÉTICO SEM DESONERAÇÃO</t>
  </si>
  <si>
    <t>Obra:</t>
  </si>
  <si>
    <t>Local:</t>
  </si>
  <si>
    <t>BDI DE SERVIÇO:</t>
  </si>
  <si>
    <t>Data base:</t>
  </si>
  <si>
    <t>BDI FORNECIMENTO E FORMENCIMENTO COM MÃO DE OBRA:</t>
  </si>
  <si>
    <t>Prazo de execução:</t>
  </si>
  <si>
    <t>VALOR FINAL DO ORÇAMENTO COM BDI:</t>
  </si>
  <si>
    <t>VALOR DO BDI:</t>
  </si>
  <si>
    <t>VALOR FINAL DO ORÇAMENTO SEM BDI:</t>
  </si>
  <si>
    <t>CONTRATAÇÃO DE EMPRESA ESPECIALIZADA PARA EXECUÇÃO DE OBRA PARA CONSTRUÇÃO DE UMA ESCOLA TÉCNICA ESTADUAL (ETE) NO MUNICÍPIO DE CAETES, NO ESTADO DE PERNAMBUCO.</t>
  </si>
  <si>
    <t>CONTRATAÇÃO DE EMPRESA ESPECIALIZADA PARA EXECUÇÃO DE OBRA DE ENGENHARIA PARA CONSTRUÇÃO DE UMA ESCOLA TÉCNICA ESTADUAL -  ETE, NO MUNICÍPIO DE CAETES, NO ESTADO DE PERNAMBUCO.</t>
  </si>
  <si>
    <t xml:space="preserve"> 3.23 </t>
  </si>
  <si>
    <t xml:space="preserve"> 00008221 </t>
  </si>
  <si>
    <t>ALMOXARIFADO ABERTO</t>
  </si>
  <si>
    <t xml:space="preserve"> 3.24 </t>
  </si>
  <si>
    <t xml:space="preserve"> 00008294 </t>
  </si>
  <si>
    <t>MANUTENÇÃO DO CANTEIRO</t>
  </si>
  <si>
    <t xml:space="preserve"> 7.14.12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</si>
</sst>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_(&quot;R$ &quot;* #,##0.00_);_(&quot;R$ &quot;* \(#,##0.00\);_(&quot;R$ &quot;* \-??_);_(@_)"/>
    <numFmt numFmtId="166" formatCode="[$R$-416]\ #,##0.00;[Red]\-[$R$-416]\ #,##0.00"/>
    <numFmt numFmtId="167" formatCode="_(* #,##0.00_);_(* \(#,##0.00\);_(* \-??_);_(@_)"/>
    <numFmt numFmtId="168" formatCode="_-* #,##0.00_-;\-* #,##0.00_-;_-* \-??_-;_-@_-"/>
    <numFmt numFmtId="169" formatCode="#,##0.00\ %"/>
    <numFmt numFmtId="170" formatCode="_(* #,##0.000_);_(* \(#,##0.000\);_(* \-??_);_(@_)"/>
    <numFmt numFmtId="171" formatCode="0.000"/>
    <numFmt numFmtId="172" formatCode="_(* #,##0.0000000_);_(* \(#,##0.0000000\);_(* \-??_);_(@_)"/>
    <numFmt numFmtId="173" formatCode="_-&quot;R$ &quot;* #,##0.000_-;&quot;-R$ &quot;* #,##0.000_-;_-&quot;R$ &quot;* \-??_-;_-@_-"/>
    <numFmt numFmtId="174" formatCode="_(* #,##0.000_);_(* \(#,##0.000\);_(* &quot;-&quot;??_);_(@_)"/>
    <numFmt numFmtId="175" formatCode="&quot;R$&quot;\ #,##0.00"/>
    <numFmt numFmtId="176" formatCode="_-[$R$-416]\ * #,##0.00_-;\-[$R$-416]\ * #,##0.00_-;_-[$R$-416]\ * &quot;-&quot;??_-;_-@_-"/>
  </numFmts>
  <fonts count="68">
    <font>
      <sz val="11"/>
      <name val="Arial"/>
      <family val="1"/>
      <charset val="1"/>
    </font>
    <font>
      <u/>
      <sz val="11"/>
      <color theme="10"/>
      <name val="Arial"/>
      <family val="1"/>
      <charset val="1"/>
    </font>
    <font>
      <u/>
      <sz val="11"/>
      <color theme="10"/>
      <name val="Aptos Narrow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Arial"/>
      <family val="2"/>
      <charset val="1"/>
    </font>
    <font>
      <sz val="11"/>
      <color theme="1"/>
      <name val="Aptos Narrow"/>
      <family val="2"/>
      <charset val="1"/>
    </font>
    <font>
      <sz val="11"/>
      <color rgb="FF000000"/>
      <name val="Arial"/>
      <family val="2"/>
      <charset val="1"/>
    </font>
    <font>
      <sz val="10"/>
      <color theme="1"/>
      <name val="Aptos Narrow"/>
      <family val="2"/>
      <charset val="1"/>
    </font>
    <font>
      <sz val="11"/>
      <name val="Aptos Narrow"/>
      <family val="2"/>
      <charset val="1"/>
    </font>
    <font>
      <sz val="10"/>
      <color rgb="FF000000"/>
      <name val="Aptos Narrow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b/>
      <sz val="10"/>
      <name val="Arial"/>
      <family val="1"/>
      <charset val="1"/>
    </font>
    <font>
      <b/>
      <sz val="16"/>
      <name val="Arial"/>
      <family val="1"/>
      <charset val="1"/>
    </font>
    <font>
      <sz val="11"/>
      <name val="Arial Nova"/>
      <family val="2"/>
      <charset val="1"/>
    </font>
    <font>
      <b/>
      <sz val="11"/>
      <name val="Arial Nova"/>
      <family val="2"/>
      <charset val="1"/>
    </font>
    <font>
      <sz val="11"/>
      <name val="Times New Roman"/>
      <family val="1"/>
      <charset val="1"/>
    </font>
    <font>
      <b/>
      <sz val="11"/>
      <color theme="1"/>
      <name val="Arial Nova"/>
      <family val="2"/>
      <charset val="1"/>
    </font>
    <font>
      <sz val="11"/>
      <color theme="1"/>
      <name val="Arial Nova"/>
      <family val="2"/>
      <charset val="1"/>
    </font>
    <font>
      <sz val="11"/>
      <color rgb="FFFF0000"/>
      <name val="Aptos Narrow"/>
      <family val="2"/>
      <charset val="1"/>
    </font>
    <font>
      <sz val="12"/>
      <color rgb="FF000000"/>
      <name val="Arial Narrow"/>
      <family val="2"/>
      <charset val="1"/>
    </font>
    <font>
      <sz val="11"/>
      <name val="Arial"/>
      <family val="1"/>
      <charset val="1"/>
    </font>
    <font>
      <sz val="11"/>
      <name val="Arial Nova"/>
      <family val="2"/>
    </font>
    <font>
      <sz val="8"/>
      <name val="Arial"/>
      <family val="1"/>
      <charset val="1"/>
    </font>
    <font>
      <b/>
      <sz val="11"/>
      <color rgb="FF000000"/>
      <name val="Arial Nova"/>
      <family val="2"/>
      <charset val="1"/>
    </font>
    <font>
      <sz val="11"/>
      <color rgb="FFFF0000"/>
      <name val="Arial Nova"/>
      <family val="2"/>
      <charset val="1"/>
    </font>
    <font>
      <b/>
      <sz val="11"/>
      <color rgb="FFFF0000"/>
      <name val="Arial Nova"/>
      <family val="2"/>
      <charset val="1"/>
    </font>
    <font>
      <b/>
      <sz val="11"/>
      <color rgb="FFFF0000"/>
      <name val="Arial"/>
      <family val="2"/>
      <charset val="1"/>
    </font>
    <font>
      <sz val="11"/>
      <color rgb="FFFF0000"/>
      <name val="Times New Roman"/>
      <family val="1"/>
      <charset val="1"/>
    </font>
    <font>
      <b/>
      <sz val="11"/>
      <name val="Arial Nova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sz val="11"/>
      <color theme="1"/>
      <name val="Calibri"/>
      <family val="2"/>
    </font>
    <font>
      <sz val="11"/>
      <name val="Arial"/>
      <family val="1"/>
    </font>
    <font>
      <b/>
      <sz val="10"/>
      <color rgb="FF000000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b/>
      <sz val="13"/>
      <name val="Arial"/>
      <family val="1"/>
    </font>
    <font>
      <sz val="10"/>
      <color rgb="FF000000"/>
      <name val="Arial"/>
      <family val="1"/>
    </font>
    <font>
      <sz val="14"/>
      <color rgb="FF000000"/>
      <name val="Arial Narrow"/>
      <family val="2"/>
    </font>
    <font>
      <sz val="12"/>
      <color rgb="FF000000"/>
      <name val="Arial Narrow"/>
      <family val="2"/>
    </font>
    <font>
      <b/>
      <sz val="13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name val="Arial"/>
      <family val="2"/>
    </font>
    <font>
      <sz val="16"/>
      <name val="Arial"/>
      <family val="2"/>
    </font>
    <font>
      <sz val="16"/>
      <color rgb="FF000000"/>
      <name val="Arial Narrow"/>
      <family val="2"/>
      <charset val="1"/>
    </font>
    <font>
      <b/>
      <sz val="14"/>
      <color theme="1"/>
      <name val="Calibri"/>
      <family val="2"/>
    </font>
    <font>
      <b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sz val="12"/>
      <color theme="0"/>
      <name val="Arial Narrow"/>
      <family val="2"/>
      <charset val="1"/>
    </font>
    <font>
      <b/>
      <sz val="14"/>
      <name val="Arial"/>
      <family val="1"/>
      <charset val="1"/>
    </font>
    <font>
      <b/>
      <sz val="26"/>
      <color rgb="FF000000"/>
      <name val="Calibri"/>
      <family val="2"/>
      <charset val="1"/>
    </font>
    <font>
      <b/>
      <sz val="18"/>
      <color rgb="FFFF0000"/>
      <name val="Arial"/>
      <family val="2"/>
    </font>
    <font>
      <b/>
      <sz val="18"/>
      <color rgb="FF000000"/>
      <name val="Calibri"/>
      <family val="2"/>
      <charset val="1"/>
    </font>
    <font>
      <b/>
      <sz val="11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sz val="11"/>
      <name val="Century Gothic"/>
      <family val="2"/>
      <charset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charset val="1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theme="4" tint="0.79989013336588644"/>
        <bgColor rgb="FFC6D9F1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rgb="FFFFFF99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theme="0"/>
        <bgColor indexed="64"/>
      </patternFill>
    </fill>
    <fill>
      <patternFill patternType="solid">
        <fgColor rgb="FFC1F0C8"/>
        <bgColor rgb="FFD9F2D0"/>
      </patternFill>
    </fill>
    <fill>
      <patternFill patternType="solid">
        <fgColor rgb="FFD9D9D9"/>
        <bgColor rgb="FFD6D6D6"/>
      </patternFill>
    </fill>
    <fill>
      <patternFill patternType="solid">
        <fgColor theme="0"/>
        <bgColor rgb="FF528ED4"/>
      </patternFill>
    </fill>
    <fill>
      <patternFill patternType="solid">
        <fgColor theme="0"/>
        <bgColor rgb="FFFFFFFF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ck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ck">
        <color indexed="64"/>
      </right>
      <top/>
      <bottom style="thin">
        <color rgb="FFCCCCCC"/>
      </bottom>
      <diagonal/>
    </border>
    <border>
      <left style="thick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ck">
        <color indexed="64"/>
      </right>
      <top style="thin">
        <color rgb="FFCCCCCC"/>
      </top>
      <bottom style="thin">
        <color rgb="FFCCCCCC"/>
      </bottom>
      <diagonal/>
    </border>
    <border>
      <left style="thick">
        <color indexed="64"/>
      </left>
      <right/>
      <top style="thin">
        <color rgb="FFCCCCCC"/>
      </top>
      <bottom style="thin">
        <color rgb="FFCCCCCC"/>
      </bottom>
      <diagonal/>
    </border>
    <border>
      <left/>
      <right style="thick">
        <color indexed="64"/>
      </right>
      <top style="thin">
        <color rgb="FFCCCCCC"/>
      </top>
      <bottom style="thin">
        <color rgb="FFCCCCCC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39">
    <xf numFmtId="0" fontId="0" fillId="0" borderId="0"/>
    <xf numFmtId="9" fontId="23" fillId="0" borderId="0" applyBorder="0" applyProtection="0"/>
    <xf numFmtId="0" fontId="1" fillId="0" borderId="0" applyBorder="0" applyProtection="0"/>
    <xf numFmtId="0" fontId="2" fillId="0" borderId="0" applyBorder="0" applyProtection="0"/>
    <xf numFmtId="164" fontId="23" fillId="0" borderId="0" applyBorder="0" applyProtection="0"/>
    <xf numFmtId="164" fontId="23" fillId="0" borderId="0" applyBorder="0" applyProtection="0"/>
    <xf numFmtId="165" fontId="23" fillId="0" borderId="0" applyBorder="0" applyProtection="0"/>
    <xf numFmtId="0" fontId="3" fillId="0" borderId="0"/>
    <xf numFmtId="166" fontId="3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3" fillId="0" borderId="0"/>
    <xf numFmtId="0" fontId="8" fillId="0" borderId="0"/>
    <xf numFmtId="0" fontId="7" fillId="0" borderId="0"/>
    <xf numFmtId="0" fontId="7" fillId="0" borderId="0"/>
    <xf numFmtId="0" fontId="9" fillId="0" borderId="0">
      <alignment vertical="center"/>
    </xf>
    <xf numFmtId="0" fontId="3" fillId="0" borderId="0"/>
    <xf numFmtId="0" fontId="5" fillId="0" borderId="0"/>
    <xf numFmtId="166" fontId="8" fillId="0" borderId="0"/>
    <xf numFmtId="0" fontId="10" fillId="0" borderId="0"/>
    <xf numFmtId="0" fontId="11" fillId="0" borderId="0"/>
    <xf numFmtId="9" fontId="23" fillId="0" borderId="0" applyBorder="0" applyProtection="0"/>
    <xf numFmtId="9" fontId="23" fillId="0" borderId="0" applyBorder="0" applyProtection="0"/>
    <xf numFmtId="9" fontId="23" fillId="0" borderId="0" applyBorder="0" applyProtection="0"/>
    <xf numFmtId="167" fontId="23" fillId="0" borderId="0" applyBorder="0" applyProtection="0"/>
    <xf numFmtId="167" fontId="23" fillId="0" borderId="0" applyBorder="0" applyProtection="0"/>
    <xf numFmtId="167" fontId="5" fillId="0" borderId="0" applyBorder="0" applyProtection="0"/>
    <xf numFmtId="167" fontId="23" fillId="0" borderId="0" applyBorder="0" applyProtection="0"/>
    <xf numFmtId="167" fontId="3" fillId="0" borderId="0" applyBorder="0" applyProtection="0"/>
    <xf numFmtId="167" fontId="23" fillId="0" borderId="0" applyBorder="0" applyProtection="0"/>
    <xf numFmtId="168" fontId="23" fillId="0" borderId="0" applyBorder="0" applyProtection="0"/>
    <xf numFmtId="168" fontId="23" fillId="0" borderId="0" applyBorder="0" applyProtection="0"/>
    <xf numFmtId="0" fontId="35" fillId="0" borderId="0"/>
    <xf numFmtId="44" fontId="23" fillId="0" borderId="0" applyFont="0" applyFill="0" applyBorder="0" applyAlignment="0" applyProtection="0"/>
  </cellStyleXfs>
  <cellXfs count="386">
    <xf numFmtId="0" fontId="0" fillId="0" borderId="0" xfId="0"/>
    <xf numFmtId="0" fontId="4" fillId="0" borderId="0" xfId="9"/>
    <xf numFmtId="167" fontId="10" fillId="0" borderId="0" xfId="30" applyFont="1" applyBorder="1" applyAlignment="1" applyProtection="1">
      <alignment vertical="center"/>
    </xf>
    <xf numFmtId="167" fontId="4" fillId="0" borderId="0" xfId="30" applyFont="1" applyBorder="1" applyAlignment="1" applyProtection="1">
      <alignment horizontal="center" vertical="center"/>
    </xf>
    <xf numFmtId="167" fontId="16" fillId="0" borderId="0" xfId="30" applyFont="1" applyBorder="1" applyAlignment="1" applyProtection="1">
      <alignment horizontal="center" vertical="center"/>
    </xf>
    <xf numFmtId="167" fontId="16" fillId="0" borderId="0" xfId="30" applyFont="1" applyBorder="1" applyAlignment="1" applyProtection="1">
      <alignment vertical="center"/>
    </xf>
    <xf numFmtId="167" fontId="17" fillId="0" borderId="0" xfId="3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67" fontId="12" fillId="0" borderId="4" xfId="30" applyFont="1" applyBorder="1" applyAlignment="1" applyProtection="1">
      <alignment horizontal="center" vertical="center"/>
    </xf>
    <xf numFmtId="167" fontId="17" fillId="0" borderId="4" xfId="30" applyFont="1" applyBorder="1" applyAlignment="1" applyProtection="1">
      <alignment horizontal="center" vertical="center"/>
    </xf>
    <xf numFmtId="167" fontId="17" fillId="0" borderId="5" xfId="30" applyFont="1" applyBorder="1" applyAlignment="1" applyProtection="1">
      <alignment horizontal="center" vertical="center"/>
    </xf>
    <xf numFmtId="167" fontId="17" fillId="0" borderId="6" xfId="30" applyFont="1" applyBorder="1" applyAlignment="1" applyProtection="1">
      <alignment horizontal="center" vertical="center"/>
    </xf>
    <xf numFmtId="0" fontId="12" fillId="4" borderId="7" xfId="19" applyFont="1" applyFill="1" applyBorder="1" applyAlignment="1">
      <alignment horizontal="center" vertical="center"/>
    </xf>
    <xf numFmtId="0" fontId="17" fillId="4" borderId="7" xfId="19" applyFont="1" applyFill="1" applyBorder="1" applyAlignment="1">
      <alignment horizontal="center" vertical="center"/>
    </xf>
    <xf numFmtId="0" fontId="17" fillId="4" borderId="5" xfId="19" applyFont="1" applyFill="1" applyBorder="1" applyAlignment="1">
      <alignment horizontal="left" vertical="center" wrapText="1"/>
    </xf>
    <xf numFmtId="0" fontId="17" fillId="4" borderId="5" xfId="19" applyFont="1" applyFill="1" applyBorder="1" applyAlignment="1">
      <alignment horizontal="center" vertical="center"/>
    </xf>
    <xf numFmtId="167" fontId="17" fillId="4" borderId="5" xfId="30" applyFont="1" applyFill="1" applyBorder="1" applyAlignment="1" applyProtection="1">
      <alignment vertical="center"/>
    </xf>
    <xf numFmtId="167" fontId="17" fillId="4" borderId="5" xfId="30" applyFont="1" applyFill="1" applyBorder="1" applyAlignment="1" applyProtection="1">
      <alignment horizontal="center" vertical="center"/>
    </xf>
    <xf numFmtId="167" fontId="16" fillId="4" borderId="5" xfId="30" applyFont="1" applyFill="1" applyBorder="1" applyAlignment="1" applyProtection="1">
      <alignment horizontal="center" vertical="center"/>
    </xf>
    <xf numFmtId="167" fontId="17" fillId="4" borderId="6" xfId="30" applyFont="1" applyFill="1" applyBorder="1" applyAlignment="1" applyProtection="1">
      <alignment horizontal="center" vertical="center"/>
    </xf>
    <xf numFmtId="0" fontId="12" fillId="0" borderId="4" xfId="19" applyFont="1" applyBorder="1" applyAlignment="1">
      <alignment horizontal="center" vertical="center" wrapText="1"/>
    </xf>
    <xf numFmtId="0" fontId="17" fillId="0" borderId="4" xfId="19" applyFont="1" applyBorder="1" applyAlignment="1">
      <alignment horizontal="center" vertical="center" wrapText="1"/>
    </xf>
    <xf numFmtId="0" fontId="17" fillId="0" borderId="7" xfId="19" applyFont="1" applyBorder="1" applyAlignment="1">
      <alignment horizontal="center" vertical="center" wrapText="1"/>
    </xf>
    <xf numFmtId="0" fontId="17" fillId="0" borderId="5" xfId="19" applyFont="1" applyBorder="1" applyAlignment="1">
      <alignment horizontal="left" vertical="center" wrapText="1"/>
    </xf>
    <xf numFmtId="0" fontId="17" fillId="0" borderId="5" xfId="19" applyFont="1" applyBorder="1" applyAlignment="1">
      <alignment horizontal="center" vertical="center" wrapText="1"/>
    </xf>
    <xf numFmtId="167" fontId="16" fillId="0" borderId="5" xfId="29" applyFont="1" applyBorder="1" applyAlignment="1" applyProtection="1">
      <alignment horizontal="left" vertical="center"/>
    </xf>
    <xf numFmtId="167" fontId="16" fillId="0" borderId="5" xfId="29" applyFont="1" applyBorder="1" applyAlignment="1" applyProtection="1">
      <alignment horizontal="center" vertical="center"/>
    </xf>
    <xf numFmtId="167" fontId="19" fillId="0" borderId="5" xfId="32" applyFont="1" applyBorder="1" applyAlignment="1" applyProtection="1">
      <alignment horizontal="center" vertical="center"/>
    </xf>
    <xf numFmtId="0" fontId="18" fillId="0" borderId="0" xfId="15" applyFont="1" applyAlignment="1">
      <alignment horizontal="left" vertical="center"/>
    </xf>
    <xf numFmtId="0" fontId="12" fillId="0" borderId="7" xfId="19" applyFont="1" applyBorder="1" applyAlignment="1">
      <alignment horizontal="center" vertical="center"/>
    </xf>
    <xf numFmtId="0" fontId="16" fillId="0" borderId="5" xfId="19" applyFont="1" applyBorder="1" applyAlignment="1">
      <alignment horizontal="left" vertical="center" wrapText="1"/>
    </xf>
    <xf numFmtId="167" fontId="20" fillId="0" borderId="5" xfId="32" applyFont="1" applyBorder="1" applyAlignment="1" applyProtection="1">
      <alignment horizontal="center" vertical="center"/>
    </xf>
    <xf numFmtId="167" fontId="17" fillId="0" borderId="5" xfId="30" applyFont="1" applyBorder="1" applyAlignment="1" applyProtection="1">
      <alignment vertical="center"/>
    </xf>
    <xf numFmtId="167" fontId="16" fillId="0" borderId="5" xfId="30" applyFont="1" applyBorder="1" applyAlignment="1" applyProtection="1">
      <alignment horizontal="center" vertical="center"/>
    </xf>
    <xf numFmtId="0" fontId="16" fillId="0" borderId="7" xfId="19" applyFont="1" applyBorder="1" applyAlignment="1">
      <alignment horizontal="center" vertical="center"/>
    </xf>
    <xf numFmtId="0" fontId="16" fillId="0" borderId="5" xfId="19" applyFont="1" applyBorder="1" applyAlignment="1">
      <alignment horizontal="center" vertical="center"/>
    </xf>
    <xf numFmtId="2" fontId="16" fillId="0" borderId="5" xfId="36" applyNumberFormat="1" applyFont="1" applyBorder="1" applyAlignment="1" applyProtection="1">
      <alignment vertical="center"/>
    </xf>
    <xf numFmtId="2" fontId="16" fillId="0" borderId="5" xfId="30" applyNumberFormat="1" applyFont="1" applyBorder="1" applyAlignment="1" applyProtection="1">
      <alignment vertical="center"/>
    </xf>
    <xf numFmtId="2" fontId="16" fillId="0" borderId="5" xfId="30" applyNumberFormat="1" applyFont="1" applyBorder="1" applyAlignment="1" applyProtection="1">
      <alignment horizontal="center" vertical="center"/>
    </xf>
    <xf numFmtId="2" fontId="20" fillId="0" borderId="5" xfId="32" applyNumberFormat="1" applyFont="1" applyBorder="1" applyAlignment="1" applyProtection="1">
      <alignment vertical="center"/>
    </xf>
    <xf numFmtId="2" fontId="16" fillId="0" borderId="5" xfId="36" applyNumberFormat="1" applyFont="1" applyBorder="1" applyAlignment="1" applyProtection="1">
      <alignment horizontal="right" vertical="center"/>
    </xf>
    <xf numFmtId="167" fontId="16" fillId="0" borderId="5" xfId="30" applyFont="1" applyBorder="1" applyAlignment="1" applyProtection="1">
      <alignment vertical="center"/>
    </xf>
    <xf numFmtId="0" fontId="12" fillId="4" borderId="4" xfId="19" applyFont="1" applyFill="1" applyBorder="1" applyAlignment="1">
      <alignment horizontal="center" vertical="center"/>
    </xf>
    <xf numFmtId="0" fontId="17" fillId="4" borderId="4" xfId="19" applyFont="1" applyFill="1" applyBorder="1" applyAlignment="1">
      <alignment horizontal="center" vertical="center"/>
    </xf>
    <xf numFmtId="0" fontId="12" fillId="4" borderId="4" xfId="19" applyFont="1" applyFill="1" applyBorder="1" applyAlignment="1">
      <alignment horizontal="center" vertical="center" wrapText="1"/>
    </xf>
    <xf numFmtId="0" fontId="17" fillId="4" borderId="4" xfId="19" applyFont="1" applyFill="1" applyBorder="1" applyAlignment="1">
      <alignment horizontal="center" vertical="center" wrapText="1"/>
    </xf>
    <xf numFmtId="170" fontId="16" fillId="0" borderId="5" xfId="29" applyNumberFormat="1" applyFont="1" applyBorder="1" applyAlignment="1" applyProtection="1">
      <alignment horizontal="left" vertical="center"/>
    </xf>
    <xf numFmtId="170" fontId="17" fillId="0" borderId="5" xfId="30" applyNumberFormat="1" applyFont="1" applyBorder="1" applyAlignment="1" applyProtection="1">
      <alignment horizontal="center" vertical="center"/>
    </xf>
    <xf numFmtId="2" fontId="20" fillId="0" borderId="5" xfId="36" applyNumberFormat="1" applyFont="1" applyBorder="1" applyAlignment="1" applyProtection="1">
      <alignment horizontal="right" vertical="center"/>
    </xf>
    <xf numFmtId="168" fontId="18" fillId="0" borderId="0" xfId="15" applyNumberFormat="1" applyFont="1" applyAlignment="1">
      <alignment horizontal="center" vertical="center"/>
    </xf>
    <xf numFmtId="171" fontId="16" fillId="0" borderId="5" xfId="36" applyNumberFormat="1" applyFont="1" applyBorder="1" applyAlignment="1" applyProtection="1">
      <alignment horizontal="right" vertical="center"/>
    </xf>
    <xf numFmtId="171" fontId="16" fillId="0" borderId="5" xfId="29" applyNumberFormat="1" applyFont="1" applyBorder="1" applyAlignment="1" applyProtection="1">
      <alignment horizontal="left" vertical="center"/>
    </xf>
    <xf numFmtId="0" fontId="12" fillId="4" borderId="7" xfId="19" applyFont="1" applyFill="1" applyBorder="1" applyAlignment="1">
      <alignment horizontal="center" vertical="center" wrapText="1"/>
    </xf>
    <xf numFmtId="0" fontId="17" fillId="4" borderId="7" xfId="19" applyFont="1" applyFill="1" applyBorder="1" applyAlignment="1">
      <alignment horizontal="center" vertical="center" wrapText="1"/>
    </xf>
    <xf numFmtId="0" fontId="12" fillId="0" borderId="4" xfId="19" applyFont="1" applyBorder="1" applyAlignment="1">
      <alignment horizontal="center" vertical="center"/>
    </xf>
    <xf numFmtId="2" fontId="16" fillId="0" borderId="5" xfId="19" applyNumberFormat="1" applyFont="1" applyBorder="1" applyAlignment="1">
      <alignment horizontal="right" vertical="center"/>
    </xf>
    <xf numFmtId="2" fontId="16" fillId="0" borderId="5" xfId="29" applyNumberFormat="1" applyFont="1" applyBorder="1" applyAlignment="1" applyProtection="1">
      <alignment horizontal="right" vertical="center"/>
    </xf>
    <xf numFmtId="2" fontId="16" fillId="0" borderId="5" xfId="30" applyNumberFormat="1" applyFont="1" applyBorder="1" applyAlignment="1" applyProtection="1">
      <alignment horizontal="right" vertical="center"/>
    </xf>
    <xf numFmtId="2" fontId="20" fillId="0" borderId="5" xfId="32" applyNumberFormat="1" applyFont="1" applyBorder="1" applyAlignment="1" applyProtection="1">
      <alignment horizontal="right" vertical="center"/>
    </xf>
    <xf numFmtId="0" fontId="4" fillId="0" borderId="4" xfId="19" applyFont="1" applyBorder="1" applyAlignment="1">
      <alignment horizontal="center" vertical="center"/>
    </xf>
    <xf numFmtId="0" fontId="16" fillId="0" borderId="4" xfId="19" applyFont="1" applyBorder="1" applyAlignment="1">
      <alignment horizontal="center" vertical="center"/>
    </xf>
    <xf numFmtId="167" fontId="16" fillId="4" borderId="5" xfId="30" applyFont="1" applyFill="1" applyBorder="1" applyAlignment="1" applyProtection="1">
      <alignment vertical="center"/>
    </xf>
    <xf numFmtId="2" fontId="16" fillId="0" borderId="5" xfId="19" applyNumberFormat="1" applyFont="1" applyBorder="1" applyAlignment="1">
      <alignment horizontal="center" vertical="center"/>
    </xf>
    <xf numFmtId="2" fontId="17" fillId="0" borderId="5" xfId="30" applyNumberFormat="1" applyFont="1" applyBorder="1" applyAlignment="1" applyProtection="1">
      <alignment horizontal="center" vertical="center"/>
    </xf>
    <xf numFmtId="172" fontId="16" fillId="0" borderId="5" xfId="30" applyNumberFormat="1" applyFont="1" applyBorder="1" applyAlignment="1" applyProtection="1">
      <alignment horizontal="center" vertical="center"/>
    </xf>
    <xf numFmtId="0" fontId="17" fillId="0" borderId="7" xfId="19" applyFont="1" applyBorder="1" applyAlignment="1">
      <alignment horizontal="center" vertical="center"/>
    </xf>
    <xf numFmtId="0" fontId="12" fillId="6" borderId="4" xfId="19" applyFont="1" applyFill="1" applyBorder="1" applyAlignment="1">
      <alignment horizontal="center" vertical="center"/>
    </xf>
    <xf numFmtId="167" fontId="10" fillId="0" borderId="5" xfId="30" applyFont="1" applyBorder="1" applyAlignment="1" applyProtection="1">
      <alignment vertical="center"/>
    </xf>
    <xf numFmtId="2" fontId="20" fillId="0" borderId="5" xfId="32" applyNumberFormat="1" applyFont="1" applyBorder="1" applyAlignment="1" applyProtection="1">
      <alignment horizontal="center" vertical="center"/>
    </xf>
    <xf numFmtId="4" fontId="20" fillId="0" borderId="5" xfId="19" applyNumberFormat="1" applyFont="1" applyBorder="1" applyAlignment="1">
      <alignment horizontal="left" vertical="center" wrapText="1"/>
    </xf>
    <xf numFmtId="4" fontId="20" fillId="2" borderId="5" xfId="19" applyNumberFormat="1" applyFont="1" applyFill="1" applyBorder="1" applyAlignment="1">
      <alignment horizontal="left" vertical="center" wrapText="1"/>
    </xf>
    <xf numFmtId="167" fontId="17" fillId="0" borderId="5" xfId="29" applyFont="1" applyBorder="1" applyAlignment="1" applyProtection="1">
      <alignment horizontal="left" vertical="center"/>
    </xf>
    <xf numFmtId="0" fontId="4" fillId="0" borderId="7" xfId="19" applyFont="1" applyBorder="1" applyAlignment="1">
      <alignment horizontal="center" vertical="center"/>
    </xf>
    <xf numFmtId="2" fontId="16" fillId="0" borderId="5" xfId="29" applyNumberFormat="1" applyFont="1" applyBorder="1" applyAlignment="1" applyProtection="1">
      <alignment horizontal="center" vertical="center"/>
    </xf>
    <xf numFmtId="3" fontId="17" fillId="0" borderId="7" xfId="19" applyNumberFormat="1" applyFont="1" applyBorder="1" applyAlignment="1">
      <alignment horizontal="center" vertical="center"/>
    </xf>
    <xf numFmtId="0" fontId="22" fillId="0" borderId="0" xfId="17" applyFont="1" applyAlignment="1">
      <alignment horizontal="center" vertical="center"/>
    </xf>
    <xf numFmtId="164" fontId="22" fillId="0" borderId="0" xfId="4" applyFont="1" applyBorder="1" applyAlignment="1" applyProtection="1">
      <alignment horizontal="center" vertical="center"/>
    </xf>
    <xf numFmtId="0" fontId="22" fillId="0" borderId="0" xfId="17" applyFont="1"/>
    <xf numFmtId="173" fontId="22" fillId="0" borderId="5" xfId="17" applyNumberFormat="1" applyFont="1" applyBorder="1" applyAlignment="1">
      <alignment horizontal="center" vertical="center"/>
    </xf>
    <xf numFmtId="0" fontId="22" fillId="5" borderId="5" xfId="17" applyFont="1" applyFill="1" applyBorder="1" applyAlignment="1">
      <alignment horizontal="center" vertical="center"/>
    </xf>
    <xf numFmtId="164" fontId="22" fillId="5" borderId="5" xfId="4" applyFont="1" applyFill="1" applyBorder="1" applyAlignment="1" applyProtection="1">
      <alignment horizontal="center" vertical="center"/>
    </xf>
    <xf numFmtId="164" fontId="22" fillId="5" borderId="5" xfId="9" applyNumberFormat="1" applyFont="1" applyFill="1" applyBorder="1" applyAlignment="1">
      <alignment horizontal="center" vertical="center"/>
    </xf>
    <xf numFmtId="167" fontId="24" fillId="0" borderId="5" xfId="30" applyFont="1" applyBorder="1" applyAlignment="1" applyProtection="1">
      <alignment horizontal="center" vertical="center"/>
    </xf>
    <xf numFmtId="2" fontId="20" fillId="0" borderId="9" xfId="32" applyNumberFormat="1" applyFont="1" applyBorder="1" applyAlignment="1" applyProtection="1">
      <alignment horizontal="right" vertical="center"/>
    </xf>
    <xf numFmtId="2" fontId="18" fillId="0" borderId="0" xfId="15" applyNumberFormat="1" applyFont="1" applyAlignment="1">
      <alignment horizontal="center" vertical="center"/>
    </xf>
    <xf numFmtId="2" fontId="27" fillId="0" borderId="5" xfId="30" applyNumberFormat="1" applyFont="1" applyBorder="1" applyAlignment="1" applyProtection="1">
      <alignment horizontal="center" vertical="center"/>
    </xf>
    <xf numFmtId="0" fontId="18" fillId="0" borderId="14" xfId="15" applyFont="1" applyBorder="1" applyAlignment="1">
      <alignment vertical="center" wrapText="1"/>
    </xf>
    <xf numFmtId="0" fontId="18" fillId="0" borderId="0" xfId="15" applyFont="1" applyAlignment="1">
      <alignment vertical="center" wrapText="1"/>
    </xf>
    <xf numFmtId="0" fontId="28" fillId="0" borderId="4" xfId="19" applyFont="1" applyBorder="1" applyAlignment="1">
      <alignment horizontal="center" vertical="center" wrapText="1"/>
    </xf>
    <xf numFmtId="0" fontId="28" fillId="0" borderId="7" xfId="19" applyFont="1" applyBorder="1" applyAlignment="1">
      <alignment horizontal="center" vertical="center" wrapText="1"/>
    </xf>
    <xf numFmtId="2" fontId="27" fillId="0" borderId="5" xfId="30" applyNumberFormat="1" applyFont="1" applyBorder="1" applyAlignment="1" applyProtection="1">
      <alignment horizontal="right" vertical="center"/>
    </xf>
    <xf numFmtId="167" fontId="28" fillId="0" borderId="5" xfId="30" applyFont="1" applyBorder="1" applyAlignment="1" applyProtection="1">
      <alignment horizontal="center" vertical="center"/>
    </xf>
    <xf numFmtId="167" fontId="28" fillId="0" borderId="5" xfId="30" applyFont="1" applyBorder="1" applyAlignment="1" applyProtection="1">
      <alignment vertical="center"/>
    </xf>
    <xf numFmtId="167" fontId="27" fillId="0" borderId="5" xfId="30" applyFont="1" applyBorder="1" applyAlignment="1" applyProtection="1">
      <alignment horizontal="center" vertical="center"/>
    </xf>
    <xf numFmtId="0" fontId="27" fillId="0" borderId="4" xfId="19" applyFont="1" applyBorder="1" applyAlignment="1">
      <alignment horizontal="center" vertical="center"/>
    </xf>
    <xf numFmtId="0" fontId="27" fillId="0" borderId="7" xfId="19" applyFont="1" applyBorder="1" applyAlignment="1">
      <alignment horizontal="center" vertical="center"/>
    </xf>
    <xf numFmtId="167" fontId="27" fillId="0" borderId="5" xfId="30" applyFont="1" applyBorder="1" applyAlignment="1" applyProtection="1">
      <alignment vertical="center"/>
    </xf>
    <xf numFmtId="0" fontId="28" fillId="4" borderId="7" xfId="19" applyFont="1" applyFill="1" applyBorder="1" applyAlignment="1">
      <alignment horizontal="center" vertical="center" wrapText="1"/>
    </xf>
    <xf numFmtId="0" fontId="28" fillId="4" borderId="7" xfId="19" applyFont="1" applyFill="1" applyBorder="1" applyAlignment="1">
      <alignment horizontal="center" vertical="center"/>
    </xf>
    <xf numFmtId="0" fontId="28" fillId="4" borderId="5" xfId="19" applyFont="1" applyFill="1" applyBorder="1" applyAlignment="1">
      <alignment horizontal="left" vertical="center" wrapText="1"/>
    </xf>
    <xf numFmtId="43" fontId="17" fillId="0" borderId="7" xfId="19" applyNumberFormat="1" applyFont="1" applyBorder="1" applyAlignment="1">
      <alignment horizontal="center" vertical="center" wrapText="1"/>
    </xf>
    <xf numFmtId="167" fontId="21" fillId="0" borderId="0" xfId="30" applyFont="1" applyBorder="1" applyAlignment="1" applyProtection="1">
      <alignment vertical="center"/>
    </xf>
    <xf numFmtId="0" fontId="29" fillId="0" borderId="4" xfId="19" applyFont="1" applyBorder="1" applyAlignment="1">
      <alignment horizontal="center" vertical="center" wrapText="1"/>
    </xf>
    <xf numFmtId="167" fontId="17" fillId="0" borderId="5" xfId="32" applyFont="1" applyBorder="1" applyAlignment="1" applyProtection="1">
      <alignment horizontal="center" vertical="center"/>
    </xf>
    <xf numFmtId="2" fontId="16" fillId="0" borderId="5" xfId="32" applyNumberFormat="1" applyFont="1" applyBorder="1" applyAlignment="1" applyProtection="1">
      <alignment horizontal="right" vertical="center"/>
    </xf>
    <xf numFmtId="0" fontId="20" fillId="0" borderId="5" xfId="19" applyFont="1" applyBorder="1" applyAlignment="1">
      <alignment vertical="center"/>
    </xf>
    <xf numFmtId="0" fontId="16" fillId="0" borderId="5" xfId="19" applyFont="1" applyBorder="1" applyAlignment="1">
      <alignment vertical="center"/>
    </xf>
    <xf numFmtId="0" fontId="12" fillId="0" borderId="15" xfId="19" applyFont="1" applyBorder="1" applyAlignment="1">
      <alignment horizontal="center" vertical="center" wrapText="1"/>
    </xf>
    <xf numFmtId="0" fontId="28" fillId="4" borderId="4" xfId="19" applyFont="1" applyFill="1" applyBorder="1" applyAlignment="1">
      <alignment horizontal="center" vertical="center" wrapText="1"/>
    </xf>
    <xf numFmtId="0" fontId="26" fillId="0" borderId="5" xfId="19" applyFont="1" applyBorder="1" applyAlignment="1">
      <alignment horizontal="left" vertical="center" wrapText="1"/>
    </xf>
    <xf numFmtId="0" fontId="16" fillId="0" borderId="0" xfId="19" applyFont="1" applyAlignment="1">
      <alignment horizontal="center" vertical="center"/>
    </xf>
    <xf numFmtId="2" fontId="16" fillId="0" borderId="0" xfId="19" applyNumberFormat="1" applyFont="1" applyAlignment="1">
      <alignment horizontal="center" vertical="center"/>
    </xf>
    <xf numFmtId="0" fontId="30" fillId="0" borderId="0" xfId="15" applyFont="1" applyAlignment="1">
      <alignment horizontal="center" vertical="center"/>
    </xf>
    <xf numFmtId="0" fontId="31" fillId="0" borderId="7" xfId="19" applyFont="1" applyBorder="1" applyAlignment="1">
      <alignment horizontal="center" vertical="center" wrapText="1"/>
    </xf>
    <xf numFmtId="0" fontId="31" fillId="0" borderId="5" xfId="19" applyFont="1" applyBorder="1" applyAlignment="1">
      <alignment horizontal="left" vertical="center" wrapText="1"/>
    </xf>
    <xf numFmtId="0" fontId="31" fillId="0" borderId="5" xfId="19" applyFont="1" applyBorder="1" applyAlignment="1">
      <alignment horizontal="center" vertical="center" wrapText="1"/>
    </xf>
    <xf numFmtId="167" fontId="24" fillId="0" borderId="5" xfId="29" applyFont="1" applyBorder="1" applyAlignment="1" applyProtection="1">
      <alignment horizontal="left" vertical="center"/>
    </xf>
    <xf numFmtId="167" fontId="31" fillId="0" borderId="5" xfId="30" applyFont="1" applyBorder="1" applyAlignment="1" applyProtection="1">
      <alignment horizontal="center" vertical="center"/>
    </xf>
    <xf numFmtId="0" fontId="24" fillId="0" borderId="5" xfId="19" applyFont="1" applyBorder="1" applyAlignment="1">
      <alignment horizontal="left" vertical="center" wrapText="1"/>
    </xf>
    <xf numFmtId="0" fontId="24" fillId="0" borderId="5" xfId="19" applyFont="1" applyBorder="1" applyAlignment="1">
      <alignment horizontal="center" vertical="center"/>
    </xf>
    <xf numFmtId="0" fontId="31" fillId="0" borderId="4" xfId="19" applyFont="1" applyBorder="1" applyAlignment="1">
      <alignment horizontal="center" vertical="center" wrapText="1"/>
    </xf>
    <xf numFmtId="167" fontId="31" fillId="0" borderId="5" xfId="30" applyFont="1" applyBorder="1" applyAlignment="1" applyProtection="1">
      <alignment vertical="center"/>
    </xf>
    <xf numFmtId="167" fontId="31" fillId="0" borderId="5" xfId="32" applyFont="1" applyBorder="1" applyAlignment="1" applyProtection="1">
      <alignment horizontal="center" vertical="center"/>
    </xf>
    <xf numFmtId="2" fontId="24" fillId="0" borderId="5" xfId="32" applyNumberFormat="1" applyFont="1" applyBorder="1" applyAlignment="1" applyProtection="1">
      <alignment horizontal="right" vertical="center"/>
    </xf>
    <xf numFmtId="0" fontId="24" fillId="0" borderId="4" xfId="19" applyFont="1" applyBorder="1" applyAlignment="1">
      <alignment horizontal="center" vertical="center"/>
    </xf>
    <xf numFmtId="0" fontId="24" fillId="0" borderId="7" xfId="19" applyFont="1" applyBorder="1" applyAlignment="1">
      <alignment horizontal="center" vertical="center"/>
    </xf>
    <xf numFmtId="167" fontId="24" fillId="0" borderId="5" xfId="30" applyFont="1" applyBorder="1" applyAlignment="1" applyProtection="1">
      <alignment vertical="center"/>
    </xf>
    <xf numFmtId="3" fontId="17" fillId="4" borderId="4" xfId="19" applyNumberFormat="1" applyFont="1" applyFill="1" applyBorder="1" applyAlignment="1">
      <alignment horizontal="center" vertical="center" wrapText="1"/>
    </xf>
    <xf numFmtId="0" fontId="18" fillId="7" borderId="0" xfId="15" applyFont="1" applyFill="1" applyAlignment="1">
      <alignment horizontal="center" vertical="center"/>
    </xf>
    <xf numFmtId="167" fontId="10" fillId="7" borderId="0" xfId="30" applyFont="1" applyFill="1" applyBorder="1" applyAlignment="1" applyProtection="1">
      <alignment vertical="center"/>
    </xf>
    <xf numFmtId="0" fontId="28" fillId="4" borderId="4" xfId="19" applyFont="1" applyFill="1" applyBorder="1" applyAlignment="1">
      <alignment horizontal="center" vertical="center"/>
    </xf>
    <xf numFmtId="167" fontId="24" fillId="0" borderId="5" xfId="29" applyFont="1" applyBorder="1" applyAlignment="1">
      <alignment horizontal="left" vertical="center"/>
    </xf>
    <xf numFmtId="167" fontId="31" fillId="0" borderId="5" xfId="30" applyFont="1" applyBorder="1" applyAlignment="1">
      <alignment horizontal="center" vertical="center"/>
    </xf>
    <xf numFmtId="167" fontId="31" fillId="0" borderId="5" xfId="30" applyFont="1" applyBorder="1" applyAlignment="1">
      <alignment vertical="center"/>
    </xf>
    <xf numFmtId="167" fontId="24" fillId="0" borderId="5" xfId="30" applyFont="1" applyBorder="1" applyAlignment="1">
      <alignment vertical="center"/>
    </xf>
    <xf numFmtId="167" fontId="32" fillId="0" borderId="5" xfId="32" applyFont="1" applyBorder="1" applyAlignment="1">
      <alignment horizontal="center" vertical="center" wrapText="1"/>
    </xf>
    <xf numFmtId="0" fontId="24" fillId="0" borderId="7" xfId="19" applyFont="1" applyBorder="1" applyAlignment="1">
      <alignment horizontal="center" vertical="center" wrapText="1"/>
    </xf>
    <xf numFmtId="0" fontId="24" fillId="0" borderId="5" xfId="19" applyFont="1" applyBorder="1" applyAlignment="1">
      <alignment horizontal="center" vertical="center" wrapText="1"/>
    </xf>
    <xf numFmtId="167" fontId="24" fillId="0" borderId="5" xfId="30" applyFont="1" applyBorder="1" applyAlignment="1">
      <alignment horizontal="center" vertical="center"/>
    </xf>
    <xf numFmtId="167" fontId="33" fillId="0" borderId="5" xfId="32" applyFont="1" applyBorder="1" applyAlignment="1">
      <alignment horizontal="center" vertical="center" wrapText="1"/>
    </xf>
    <xf numFmtId="174" fontId="24" fillId="0" borderId="5" xfId="30" applyNumberFormat="1" applyFont="1" applyBorder="1" applyAlignment="1">
      <alignment horizontal="center" vertical="center"/>
    </xf>
    <xf numFmtId="174" fontId="24" fillId="0" borderId="5" xfId="29" applyNumberFormat="1" applyFont="1" applyBorder="1" applyAlignment="1">
      <alignment horizontal="left" vertical="center"/>
    </xf>
    <xf numFmtId="174" fontId="31" fillId="0" borderId="5" xfId="30" applyNumberFormat="1" applyFont="1" applyBorder="1" applyAlignment="1">
      <alignment horizontal="center" vertical="center"/>
    </xf>
    <xf numFmtId="2" fontId="24" fillId="0" borderId="5" xfId="36" applyNumberFormat="1" applyFont="1" applyBorder="1" applyAlignment="1">
      <alignment horizontal="right" vertical="center"/>
    </xf>
    <xf numFmtId="2" fontId="33" fillId="0" borderId="5" xfId="36" applyNumberFormat="1" applyFont="1" applyBorder="1" applyAlignment="1">
      <alignment horizontal="right" vertical="center" wrapText="1"/>
    </xf>
    <xf numFmtId="167" fontId="16" fillId="0" borderId="5" xfId="32" applyFont="1" applyBorder="1" applyAlignment="1" applyProtection="1">
      <alignment horizontal="center" vertical="center"/>
    </xf>
    <xf numFmtId="171" fontId="24" fillId="0" borderId="5" xfId="36" applyNumberFormat="1" applyFont="1" applyBorder="1" applyAlignment="1">
      <alignment horizontal="right" vertical="center"/>
    </xf>
    <xf numFmtId="171" fontId="24" fillId="0" borderId="5" xfId="29" applyNumberFormat="1" applyFont="1" applyBorder="1" applyAlignment="1">
      <alignment horizontal="left" vertical="center"/>
    </xf>
    <xf numFmtId="0" fontId="10" fillId="0" borderId="0" xfId="19" applyFont="1" applyAlignment="1">
      <alignment horizontal="left" vertical="center"/>
    </xf>
    <xf numFmtId="0" fontId="10" fillId="0" borderId="0" xfId="19" applyFont="1" applyAlignment="1">
      <alignment horizontal="left" vertical="center" wrapText="1"/>
    </xf>
    <xf numFmtId="167" fontId="31" fillId="0" borderId="6" xfId="30" applyFont="1" applyBorder="1" applyAlignment="1">
      <alignment horizontal="center" vertical="center"/>
    </xf>
    <xf numFmtId="0" fontId="24" fillId="0" borderId="4" xfId="19" applyFont="1" applyBorder="1" applyAlignment="1">
      <alignment horizontal="center" vertical="center" wrapText="1"/>
    </xf>
    <xf numFmtId="0" fontId="32" fillId="0" borderId="4" xfId="19" applyFont="1" applyBorder="1" applyAlignment="1">
      <alignment horizontal="center" vertical="center" wrapText="1"/>
    </xf>
    <xf numFmtId="0" fontId="32" fillId="0" borderId="7" xfId="19" applyFont="1" applyBorder="1" applyAlignment="1">
      <alignment horizontal="center" vertical="center" wrapText="1"/>
    </xf>
    <xf numFmtId="0" fontId="32" fillId="0" borderId="5" xfId="19" applyFont="1" applyBorder="1" applyAlignment="1">
      <alignment horizontal="left" vertical="center" wrapText="1"/>
    </xf>
    <xf numFmtId="0" fontId="32" fillId="0" borderId="5" xfId="19" applyFont="1" applyBorder="1" applyAlignment="1">
      <alignment horizontal="center" vertical="center" wrapText="1"/>
    </xf>
    <xf numFmtId="167" fontId="32" fillId="0" borderId="5" xfId="30" applyFont="1" applyBorder="1" applyAlignment="1">
      <alignment vertical="center"/>
    </xf>
    <xf numFmtId="167" fontId="32" fillId="0" borderId="5" xfId="30" applyFont="1" applyBorder="1" applyAlignment="1">
      <alignment horizontal="center" vertical="center"/>
    </xf>
    <xf numFmtId="167" fontId="33" fillId="0" borderId="5" xfId="30" applyFont="1" applyBorder="1" applyAlignment="1">
      <alignment vertical="center"/>
    </xf>
    <xf numFmtId="167" fontId="32" fillId="0" borderId="6" xfId="30" applyFont="1" applyBorder="1" applyAlignment="1">
      <alignment horizontal="center" vertical="center"/>
    </xf>
    <xf numFmtId="0" fontId="33" fillId="0" borderId="7" xfId="19" applyFont="1" applyBorder="1" applyAlignment="1">
      <alignment horizontal="center" vertical="center" wrapText="1"/>
    </xf>
    <xf numFmtId="0" fontId="33" fillId="0" borderId="5" xfId="19" applyFont="1" applyBorder="1" applyAlignment="1">
      <alignment horizontal="left" vertical="center" wrapText="1"/>
    </xf>
    <xf numFmtId="0" fontId="33" fillId="0" borderId="5" xfId="19" applyFont="1" applyBorder="1" applyAlignment="1">
      <alignment horizontal="center" vertical="center" wrapText="1"/>
    </xf>
    <xf numFmtId="0" fontId="33" fillId="0" borderId="4" xfId="19" applyFont="1" applyBorder="1" applyAlignment="1">
      <alignment horizontal="center" vertical="center" wrapText="1"/>
    </xf>
    <xf numFmtId="0" fontId="12" fillId="0" borderId="7" xfId="19" applyFont="1" applyBorder="1" applyAlignment="1">
      <alignment horizontal="center" vertical="center" wrapText="1"/>
    </xf>
    <xf numFmtId="2" fontId="3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5" fontId="22" fillId="5" borderId="5" xfId="27" applyNumberFormat="1" applyFont="1" applyFill="1" applyBorder="1" applyAlignment="1" applyProtection="1">
      <alignment horizontal="center" vertical="center"/>
    </xf>
    <xf numFmtId="4" fontId="39" fillId="10" borderId="3" xfId="0" applyNumberFormat="1" applyFont="1" applyFill="1" applyBorder="1" applyAlignment="1">
      <alignment horizontal="right" vertical="top" wrapText="1"/>
    </xf>
    <xf numFmtId="0" fontId="39" fillId="10" borderId="3" xfId="0" applyFont="1" applyFill="1" applyBorder="1" applyAlignment="1">
      <alignment horizontal="right" vertical="top" wrapText="1"/>
    </xf>
    <xf numFmtId="0" fontId="41" fillId="11" borderId="3" xfId="0" applyFont="1" applyFill="1" applyBorder="1" applyAlignment="1">
      <alignment horizontal="right" vertical="top" wrapText="1"/>
    </xf>
    <xf numFmtId="0" fontId="41" fillId="11" borderId="3" xfId="0" applyFont="1" applyFill="1" applyBorder="1" applyAlignment="1">
      <alignment horizontal="center" vertical="top" wrapText="1"/>
    </xf>
    <xf numFmtId="4" fontId="41" fillId="11" borderId="3" xfId="0" applyNumberFormat="1" applyFont="1" applyFill="1" applyBorder="1" applyAlignment="1">
      <alignment horizontal="right" vertical="top" wrapText="1"/>
    </xf>
    <xf numFmtId="0" fontId="41" fillId="12" borderId="3" xfId="0" applyFont="1" applyFill="1" applyBorder="1" applyAlignment="1">
      <alignment horizontal="right" vertical="top" wrapText="1"/>
    </xf>
    <xf numFmtId="0" fontId="41" fillId="12" borderId="3" xfId="0" applyFont="1" applyFill="1" applyBorder="1" applyAlignment="1">
      <alignment horizontal="center" vertical="top" wrapText="1"/>
    </xf>
    <xf numFmtId="4" fontId="41" fillId="12" borderId="3" xfId="0" applyNumberFormat="1" applyFont="1" applyFill="1" applyBorder="1" applyAlignment="1">
      <alignment horizontal="right" vertical="top" wrapText="1"/>
    </xf>
    <xf numFmtId="164" fontId="42" fillId="5" borderId="5" xfId="4" applyFont="1" applyFill="1" applyBorder="1" applyAlignment="1" applyProtection="1">
      <alignment horizontal="center" vertical="center"/>
    </xf>
    <xf numFmtId="0" fontId="38" fillId="9" borderId="0" xfId="0" applyFont="1" applyFill="1" applyAlignment="1">
      <alignment vertical="top" wrapText="1"/>
    </xf>
    <xf numFmtId="0" fontId="37" fillId="9" borderId="0" xfId="0" applyFont="1" applyFill="1" applyAlignment="1">
      <alignment horizontal="left" vertical="top" wrapText="1"/>
    </xf>
    <xf numFmtId="0" fontId="38" fillId="9" borderId="0" xfId="0" applyFont="1" applyFill="1" applyAlignment="1">
      <alignment horizontal="left" vertical="top" wrapText="1"/>
    </xf>
    <xf numFmtId="0" fontId="37" fillId="9" borderId="0" xfId="0" applyFont="1" applyFill="1" applyAlignment="1">
      <alignment vertical="top" wrapText="1"/>
    </xf>
    <xf numFmtId="10" fontId="38" fillId="9" borderId="0" xfId="0" applyNumberFormat="1" applyFont="1" applyFill="1" applyAlignment="1">
      <alignment vertical="top" wrapText="1"/>
    </xf>
    <xf numFmtId="0" fontId="40" fillId="9" borderId="0" xfId="0" applyFont="1" applyFill="1" applyAlignment="1">
      <alignment vertical="top" wrapText="1"/>
    </xf>
    <xf numFmtId="173" fontId="22" fillId="0" borderId="9" xfId="17" applyNumberFormat="1" applyFont="1" applyBorder="1" applyAlignment="1">
      <alignment horizontal="center" vertical="center"/>
    </xf>
    <xf numFmtId="0" fontId="22" fillId="0" borderId="5" xfId="17" applyFont="1" applyBorder="1" applyAlignment="1">
      <alignment horizontal="center"/>
    </xf>
    <xf numFmtId="0" fontId="18" fillId="0" borderId="0" xfId="15" applyFont="1" applyAlignment="1">
      <alignment horizontal="center" vertical="center"/>
    </xf>
    <xf numFmtId="0" fontId="41" fillId="11" borderId="3" xfId="0" applyFont="1" applyFill="1" applyBorder="1" applyAlignment="1">
      <alignment horizontal="left" vertical="top" wrapText="1"/>
    </xf>
    <xf numFmtId="0" fontId="39" fillId="10" borderId="3" xfId="0" applyFont="1" applyFill="1" applyBorder="1" applyAlignment="1">
      <alignment horizontal="left" vertical="top" wrapText="1"/>
    </xf>
    <xf numFmtId="0" fontId="41" fillId="12" borderId="3" xfId="0" applyFont="1" applyFill="1" applyBorder="1" applyAlignment="1">
      <alignment horizontal="left" vertical="top" wrapText="1"/>
    </xf>
    <xf numFmtId="0" fontId="22" fillId="0" borderId="5" xfId="17" applyFont="1" applyBorder="1" applyAlignment="1">
      <alignment horizontal="center" vertical="center"/>
    </xf>
    <xf numFmtId="0" fontId="22" fillId="6" borderId="5" xfId="17" applyFont="1" applyFill="1" applyBorder="1" applyAlignment="1">
      <alignment horizontal="center" vertical="center"/>
    </xf>
    <xf numFmtId="2" fontId="22" fillId="5" borderId="5" xfId="9" applyNumberFormat="1" applyFont="1" applyFill="1" applyBorder="1" applyAlignment="1">
      <alignment horizontal="center" vertical="center"/>
    </xf>
    <xf numFmtId="4" fontId="53" fillId="10" borderId="3" xfId="0" applyNumberFormat="1" applyFont="1" applyFill="1" applyBorder="1" applyAlignment="1">
      <alignment horizontal="right" vertical="top" wrapText="1"/>
    </xf>
    <xf numFmtId="0" fontId="53" fillId="10" borderId="3" xfId="0" applyFont="1" applyFill="1" applyBorder="1" applyAlignment="1">
      <alignment horizontal="left" vertical="top" wrapText="1"/>
    </xf>
    <xf numFmtId="169" fontId="54" fillId="11" borderId="3" xfId="0" applyNumberFormat="1" applyFont="1" applyFill="1" applyBorder="1" applyAlignment="1">
      <alignment horizontal="right" vertical="top" wrapText="1"/>
    </xf>
    <xf numFmtId="4" fontId="54" fillId="11" borderId="3" xfId="0" applyNumberFormat="1" applyFont="1" applyFill="1" applyBorder="1" applyAlignment="1">
      <alignment horizontal="right" vertical="top" wrapText="1"/>
    </xf>
    <xf numFmtId="0" fontId="53" fillId="10" borderId="3" xfId="0" applyFont="1" applyFill="1" applyBorder="1" applyAlignment="1">
      <alignment horizontal="right" vertical="top" wrapText="1"/>
    </xf>
    <xf numFmtId="0" fontId="54" fillId="11" borderId="3" xfId="0" applyFont="1" applyFill="1" applyBorder="1" applyAlignment="1">
      <alignment horizontal="left" vertical="top" wrapText="1"/>
    </xf>
    <xf numFmtId="0" fontId="54" fillId="11" borderId="3" xfId="0" applyFont="1" applyFill="1" applyBorder="1" applyAlignment="1">
      <alignment horizontal="right" vertical="top" wrapText="1"/>
    </xf>
    <xf numFmtId="0" fontId="54" fillId="11" borderId="3" xfId="0" applyFont="1" applyFill="1" applyBorder="1" applyAlignment="1">
      <alignment horizontal="center" vertical="top" wrapText="1"/>
    </xf>
    <xf numFmtId="0" fontId="38" fillId="0" borderId="0" xfId="0" applyFont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53" fillId="0" borderId="3" xfId="0" applyFont="1" applyBorder="1" applyAlignment="1">
      <alignment horizontal="left" vertical="top" wrapText="1"/>
    </xf>
    <xf numFmtId="169" fontId="54" fillId="0" borderId="3" xfId="0" applyNumberFormat="1" applyFont="1" applyBorder="1" applyAlignment="1">
      <alignment horizontal="right" vertical="top" wrapText="1"/>
    </xf>
    <xf numFmtId="169" fontId="41" fillId="11" borderId="3" xfId="0" applyNumberFormat="1" applyFont="1" applyFill="1" applyBorder="1" applyAlignment="1">
      <alignment horizontal="right" vertical="top" wrapText="1"/>
    </xf>
    <xf numFmtId="0" fontId="55" fillId="0" borderId="0" xfId="17" applyFont="1"/>
    <xf numFmtId="10" fontId="55" fillId="0" borderId="0" xfId="17" applyNumberFormat="1" applyFont="1"/>
    <xf numFmtId="10" fontId="55" fillId="0" borderId="0" xfId="1" applyNumberFormat="1" applyFont="1" applyBorder="1" applyProtection="1"/>
    <xf numFmtId="0" fontId="55" fillId="0" borderId="0" xfId="17" applyFont="1" applyAlignment="1">
      <alignment horizontal="center" vertical="center"/>
    </xf>
    <xf numFmtId="169" fontId="41" fillId="12" borderId="3" xfId="0" applyNumberFormat="1" applyFont="1" applyFill="1" applyBorder="1" applyAlignment="1">
      <alignment horizontal="right" vertical="top" wrapText="1"/>
    </xf>
    <xf numFmtId="0" fontId="8" fillId="0" borderId="0" xfId="0" applyFont="1"/>
    <xf numFmtId="0" fontId="58" fillId="0" borderId="0" xfId="0" applyFont="1"/>
    <xf numFmtId="0" fontId="60" fillId="0" borderId="0" xfId="0" applyFont="1" applyAlignment="1">
      <alignment horizontal="center"/>
    </xf>
    <xf numFmtId="0" fontId="61" fillId="0" borderId="0" xfId="0" applyFont="1"/>
    <xf numFmtId="0" fontId="61" fillId="0" borderId="1" xfId="0" applyFont="1" applyBorder="1"/>
    <xf numFmtId="0" fontId="61" fillId="0" borderId="2" xfId="0" applyFont="1" applyBorder="1"/>
    <xf numFmtId="0" fontId="60" fillId="0" borderId="4" xfId="0" applyFont="1" applyBorder="1" applyAlignment="1">
      <alignment horizontal="left" vertical="center"/>
    </xf>
    <xf numFmtId="10" fontId="60" fillId="0" borderId="32" xfId="0" applyNumberFormat="1" applyFont="1" applyBorder="1" applyAlignment="1">
      <alignment vertical="center"/>
    </xf>
    <xf numFmtId="0" fontId="60" fillId="0" borderId="0" xfId="0" applyFont="1" applyAlignment="1">
      <alignment vertical="center"/>
    </xf>
    <xf numFmtId="0" fontId="61" fillId="0" borderId="4" xfId="0" applyFont="1" applyBorder="1" applyAlignment="1">
      <alignment horizontal="left" vertical="center"/>
    </xf>
    <xf numFmtId="0" fontId="61" fillId="0" borderId="5" xfId="0" applyFont="1" applyBorder="1" applyAlignment="1">
      <alignment vertical="center"/>
    </xf>
    <xf numFmtId="0" fontId="61" fillId="0" borderId="9" xfId="0" applyFont="1" applyBorder="1" applyAlignment="1">
      <alignment vertical="center"/>
    </xf>
    <xf numFmtId="10" fontId="61" fillId="0" borderId="32" xfId="0" applyNumberFormat="1" applyFont="1" applyBorder="1" applyAlignment="1">
      <alignment vertical="center"/>
    </xf>
    <xf numFmtId="0" fontId="61" fillId="0" borderId="0" xfId="0" applyFont="1" applyAlignment="1">
      <alignment vertical="center"/>
    </xf>
    <xf numFmtId="10" fontId="61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1" fillId="0" borderId="11" xfId="0" applyFont="1" applyBorder="1" applyAlignment="1">
      <alignment vertical="center"/>
    </xf>
    <xf numFmtId="10" fontId="61" fillId="0" borderId="33" xfId="0" applyNumberFormat="1" applyFont="1" applyBorder="1" applyAlignment="1">
      <alignment vertical="center"/>
    </xf>
    <xf numFmtId="0" fontId="61" fillId="0" borderId="1" xfId="0" applyFont="1" applyBorder="1" applyAlignment="1">
      <alignment horizontal="left" vertical="center"/>
    </xf>
    <xf numFmtId="0" fontId="61" fillId="0" borderId="2" xfId="0" applyFont="1" applyBorder="1" applyAlignment="1">
      <alignment vertical="center"/>
    </xf>
    <xf numFmtId="0" fontId="62" fillId="15" borderId="24" xfId="0" applyFont="1" applyFill="1" applyBorder="1" applyAlignment="1">
      <alignment horizontal="left" vertical="center"/>
    </xf>
    <xf numFmtId="10" fontId="62" fillId="15" borderId="12" xfId="0" applyNumberFormat="1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63" fillId="0" borderId="0" xfId="0" applyFont="1" applyAlignment="1">
      <alignment horizontal="left" vertical="center"/>
    </xf>
    <xf numFmtId="10" fontId="22" fillId="13" borderId="5" xfId="27" applyNumberFormat="1" applyFont="1" applyFill="1" applyBorder="1" applyAlignment="1" applyProtection="1">
      <alignment horizontal="center" vertical="center"/>
    </xf>
    <xf numFmtId="0" fontId="22" fillId="13" borderId="5" xfId="17" applyFont="1" applyFill="1" applyBorder="1" applyAlignment="1">
      <alignment horizontal="center" vertical="center"/>
    </xf>
    <xf numFmtId="164" fontId="22" fillId="16" borderId="5" xfId="17" applyNumberFormat="1" applyFont="1" applyFill="1" applyBorder="1" applyAlignment="1">
      <alignment horizontal="center" vertical="center"/>
    </xf>
    <xf numFmtId="164" fontId="22" fillId="13" borderId="5" xfId="17" applyNumberFormat="1" applyFont="1" applyFill="1" applyBorder="1" applyAlignment="1">
      <alignment horizontal="center" vertical="center"/>
    </xf>
    <xf numFmtId="10" fontId="43" fillId="13" borderId="16" xfId="0" applyNumberFormat="1" applyFont="1" applyFill="1" applyBorder="1" applyAlignment="1">
      <alignment horizontal="center" vertical="center"/>
    </xf>
    <xf numFmtId="0" fontId="22" fillId="16" borderId="5" xfId="17" applyFont="1" applyFill="1" applyBorder="1" applyAlignment="1">
      <alignment horizontal="center" vertical="center"/>
    </xf>
    <xf numFmtId="9" fontId="22" fillId="13" borderId="5" xfId="27" applyFont="1" applyFill="1" applyBorder="1" applyAlignment="1" applyProtection="1">
      <alignment horizontal="center" vertical="center"/>
    </xf>
    <xf numFmtId="173" fontId="22" fillId="13" borderId="5" xfId="17" applyNumberFormat="1" applyFont="1" applyFill="1" applyBorder="1" applyAlignment="1">
      <alignment horizontal="center" vertical="center"/>
    </xf>
    <xf numFmtId="9" fontId="22" fillId="13" borderId="9" xfId="27" applyFont="1" applyFill="1" applyBorder="1" applyAlignment="1" applyProtection="1">
      <alignment horizontal="center" vertical="center"/>
    </xf>
    <xf numFmtId="0" fontId="22" fillId="16" borderId="9" xfId="17" applyFont="1" applyFill="1" applyBorder="1" applyAlignment="1">
      <alignment horizontal="center" vertical="center"/>
    </xf>
    <xf numFmtId="173" fontId="22" fillId="13" borderId="9" xfId="17" applyNumberFormat="1" applyFont="1" applyFill="1" applyBorder="1" applyAlignment="1">
      <alignment horizontal="center" vertical="center"/>
    </xf>
    <xf numFmtId="0" fontId="22" fillId="13" borderId="9" xfId="17" applyFont="1" applyFill="1" applyBorder="1" applyAlignment="1">
      <alignment horizontal="center" vertical="center"/>
    </xf>
    <xf numFmtId="0" fontId="39" fillId="10" borderId="36" xfId="0" applyFont="1" applyFill="1" applyBorder="1" applyAlignment="1">
      <alignment horizontal="left" vertical="top" wrapText="1"/>
    </xf>
    <xf numFmtId="0" fontId="39" fillId="10" borderId="36" xfId="0" applyFont="1" applyFill="1" applyBorder="1" applyAlignment="1">
      <alignment horizontal="right" vertical="top" wrapText="1"/>
    </xf>
    <xf numFmtId="4" fontId="39" fillId="10" borderId="36" xfId="0" applyNumberFormat="1" applyFont="1" applyFill="1" applyBorder="1" applyAlignment="1">
      <alignment horizontal="right" vertical="top" wrapText="1"/>
    </xf>
    <xf numFmtId="0" fontId="44" fillId="8" borderId="35" xfId="0" applyFont="1" applyFill="1" applyBorder="1" applyAlignment="1">
      <alignment vertical="center" wrapText="1"/>
    </xf>
    <xf numFmtId="0" fontId="45" fillId="8" borderId="35" xfId="9" applyFont="1" applyFill="1" applyBorder="1" applyAlignment="1">
      <alignment vertical="center" wrapText="1"/>
    </xf>
    <xf numFmtId="0" fontId="46" fillId="17" borderId="35" xfId="9" applyFont="1" applyFill="1" applyBorder="1" applyAlignment="1">
      <alignment horizontal="center" vertical="center" wrapText="1"/>
    </xf>
    <xf numFmtId="10" fontId="46" fillId="8" borderId="35" xfId="0" applyNumberFormat="1" applyFont="1" applyFill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44" fontId="67" fillId="17" borderId="35" xfId="9" applyNumberFormat="1" applyFont="1" applyFill="1" applyBorder="1" applyAlignment="1">
      <alignment horizontal="center" vertical="center" wrapText="1"/>
    </xf>
    <xf numFmtId="0" fontId="39" fillId="10" borderId="37" xfId="0" applyFont="1" applyFill="1" applyBorder="1" applyAlignment="1">
      <alignment horizontal="left" vertical="top" wrapText="1"/>
    </xf>
    <xf numFmtId="169" fontId="39" fillId="10" borderId="38" xfId="0" applyNumberFormat="1" applyFont="1" applyFill="1" applyBorder="1" applyAlignment="1">
      <alignment horizontal="right" vertical="top" wrapText="1"/>
    </xf>
    <xf numFmtId="0" fontId="41" fillId="11" borderId="39" xfId="0" applyFont="1" applyFill="1" applyBorder="1" applyAlignment="1">
      <alignment horizontal="left" vertical="top" wrapText="1"/>
    </xf>
    <xf numFmtId="169" fontId="41" fillId="11" borderId="40" xfId="0" applyNumberFormat="1" applyFont="1" applyFill="1" applyBorder="1" applyAlignment="1">
      <alignment horizontal="right" vertical="top" wrapText="1"/>
    </xf>
    <xf numFmtId="0" fontId="39" fillId="10" borderId="39" xfId="0" applyFont="1" applyFill="1" applyBorder="1" applyAlignment="1">
      <alignment horizontal="left" vertical="top" wrapText="1"/>
    </xf>
    <xf numFmtId="169" fontId="39" fillId="10" borderId="40" xfId="0" applyNumberFormat="1" applyFont="1" applyFill="1" applyBorder="1" applyAlignment="1">
      <alignment horizontal="right" vertical="top" wrapText="1"/>
    </xf>
    <xf numFmtId="0" fontId="41" fillId="12" borderId="39" xfId="0" applyFont="1" applyFill="1" applyBorder="1" applyAlignment="1">
      <alignment horizontal="left" vertical="top" wrapText="1"/>
    </xf>
    <xf numFmtId="169" fontId="41" fillId="12" borderId="40" xfId="0" applyNumberFormat="1" applyFont="1" applyFill="1" applyBorder="1" applyAlignment="1">
      <alignment horizontal="right" vertical="top" wrapText="1"/>
    </xf>
    <xf numFmtId="169" fontId="53" fillId="10" borderId="40" xfId="0" applyNumberFormat="1" applyFont="1" applyFill="1" applyBorder="1" applyAlignment="1">
      <alignment horizontal="right" vertical="top" wrapText="1"/>
    </xf>
    <xf numFmtId="169" fontId="54" fillId="11" borderId="40" xfId="0" applyNumberFormat="1" applyFont="1" applyFill="1" applyBorder="1" applyAlignment="1">
      <alignment horizontal="right" vertical="top" wrapText="1"/>
    </xf>
    <xf numFmtId="0" fontId="54" fillId="11" borderId="39" xfId="0" applyFont="1" applyFill="1" applyBorder="1" applyAlignment="1">
      <alignment horizontal="left" vertical="top" wrapText="1"/>
    </xf>
    <xf numFmtId="0" fontId="53" fillId="10" borderId="39" xfId="0" applyFont="1" applyFill="1" applyBorder="1" applyAlignment="1">
      <alignment horizontal="left" vertical="top" wrapText="1"/>
    </xf>
    <xf numFmtId="0" fontId="38" fillId="8" borderId="43" xfId="0" applyFont="1" applyFill="1" applyBorder="1" applyAlignment="1">
      <alignment horizontal="center" vertical="top" wrapText="1"/>
    </xf>
    <xf numFmtId="0" fontId="38" fillId="8" borderId="0" xfId="0" applyFont="1" applyFill="1" applyAlignment="1">
      <alignment horizontal="center" vertical="top" wrapText="1"/>
    </xf>
    <xf numFmtId="0" fontId="47" fillId="8" borderId="0" xfId="0" applyFont="1" applyFill="1" applyAlignment="1">
      <alignment vertical="center" wrapText="1"/>
    </xf>
    <xf numFmtId="176" fontId="38" fillId="9" borderId="0" xfId="0" applyNumberFormat="1" applyFont="1" applyFill="1" applyAlignment="1">
      <alignment vertical="center" wrapText="1"/>
    </xf>
    <xf numFmtId="176" fontId="38" fillId="9" borderId="44" xfId="0" applyNumberFormat="1" applyFont="1" applyFill="1" applyBorder="1" applyAlignment="1">
      <alignment vertical="center" wrapText="1"/>
    </xf>
    <xf numFmtId="44" fontId="56" fillId="9" borderId="0" xfId="38" applyFont="1" applyFill="1" applyBorder="1" applyAlignment="1">
      <alignment vertical="top" wrapText="1"/>
    </xf>
    <xf numFmtId="4" fontId="14" fillId="9" borderId="44" xfId="0" applyNumberFormat="1" applyFont="1" applyFill="1" applyBorder="1" applyAlignment="1">
      <alignment vertical="top" wrapText="1"/>
    </xf>
    <xf numFmtId="0" fontId="0" fillId="0" borderId="44" xfId="0" applyBorder="1"/>
    <xf numFmtId="0" fontId="22" fillId="6" borderId="10" xfId="17" applyFont="1" applyFill="1" applyBorder="1" applyAlignment="1">
      <alignment horizontal="center" vertical="center"/>
    </xf>
    <xf numFmtId="0" fontId="45" fillId="0" borderId="35" xfId="0" applyFont="1" applyBorder="1" applyAlignment="1">
      <alignment horizontal="left" vertical="center" wrapText="1"/>
    </xf>
    <xf numFmtId="0" fontId="46" fillId="8" borderId="35" xfId="0" applyFont="1" applyFill="1" applyBorder="1" applyAlignment="1">
      <alignment horizontal="center" vertical="center" wrapText="1"/>
    </xf>
    <xf numFmtId="0" fontId="45" fillId="8" borderId="35" xfId="0" applyFont="1" applyFill="1" applyBorder="1" applyAlignment="1">
      <alignment horizontal="left" vertical="center" wrapText="1"/>
    </xf>
    <xf numFmtId="0" fontId="22" fillId="6" borderId="49" xfId="17" applyFont="1" applyFill="1" applyBorder="1" applyAlignment="1">
      <alignment horizontal="center" vertical="center"/>
    </xf>
    <xf numFmtId="0" fontId="22" fillId="6" borderId="51" xfId="17" applyFont="1" applyFill="1" applyBorder="1" applyAlignment="1">
      <alignment horizontal="center" vertical="center"/>
    </xf>
    <xf numFmtId="0" fontId="22" fillId="0" borderId="50" xfId="17" applyFont="1" applyBorder="1" applyAlignment="1">
      <alignment horizontal="center" vertical="center"/>
    </xf>
    <xf numFmtId="0" fontId="22" fillId="0" borderId="51" xfId="17" applyFont="1" applyBorder="1" applyAlignment="1">
      <alignment horizontal="center" vertical="center"/>
    </xf>
    <xf numFmtId="0" fontId="22" fillId="5" borderId="50" xfId="17" applyFont="1" applyFill="1" applyBorder="1" applyAlignment="1">
      <alignment horizontal="center" vertical="center"/>
    </xf>
    <xf numFmtId="164" fontId="51" fillId="5" borderId="51" xfId="17" applyNumberFormat="1" applyFont="1" applyFill="1" applyBorder="1" applyAlignment="1">
      <alignment horizontal="center" vertical="center"/>
    </xf>
    <xf numFmtId="2" fontId="22" fillId="5" borderId="50" xfId="9" applyNumberFormat="1" applyFont="1" applyFill="1" applyBorder="1" applyAlignment="1">
      <alignment horizontal="center" vertical="center"/>
    </xf>
    <xf numFmtId="10" fontId="22" fillId="5" borderId="51" xfId="27" applyNumberFormat="1" applyFont="1" applyFill="1" applyBorder="1" applyAlignment="1" applyProtection="1">
      <alignment horizontal="center" vertical="center"/>
    </xf>
    <xf numFmtId="164" fontId="22" fillId="5" borderId="51" xfId="9" applyNumberFormat="1" applyFont="1" applyFill="1" applyBorder="1" applyAlignment="1">
      <alignment horizontal="center" vertical="center"/>
    </xf>
    <xf numFmtId="169" fontId="54" fillId="0" borderId="0" xfId="0" applyNumberFormat="1" applyFont="1" applyBorder="1" applyAlignment="1">
      <alignment horizontal="right" vertical="top" wrapText="1"/>
    </xf>
    <xf numFmtId="0" fontId="64" fillId="8" borderId="35" xfId="9" applyFont="1" applyFill="1" applyBorder="1" applyAlignment="1">
      <alignment horizontal="center" wrapText="1"/>
    </xf>
    <xf numFmtId="0" fontId="44" fillId="8" borderId="35" xfId="9" applyFont="1" applyFill="1" applyBorder="1" applyAlignment="1">
      <alignment horizontal="center" vertical="center" wrapText="1"/>
    </xf>
    <xf numFmtId="0" fontId="46" fillId="13" borderId="35" xfId="9" applyFont="1" applyFill="1" applyBorder="1" applyAlignment="1">
      <alignment horizontal="center" vertical="center" wrapText="1"/>
    </xf>
    <xf numFmtId="0" fontId="65" fillId="8" borderId="35" xfId="9" applyFont="1" applyFill="1" applyBorder="1" applyAlignment="1">
      <alignment horizontal="center" vertical="center" wrapText="1"/>
    </xf>
    <xf numFmtId="0" fontId="46" fillId="0" borderId="35" xfId="9" applyFont="1" applyBorder="1" applyAlignment="1">
      <alignment vertical="center" wrapText="1"/>
    </xf>
    <xf numFmtId="0" fontId="48" fillId="8" borderId="45" xfId="0" applyFont="1" applyFill="1" applyBorder="1" applyAlignment="1">
      <alignment horizontal="center" wrapText="1"/>
    </xf>
    <xf numFmtId="0" fontId="48" fillId="8" borderId="46" xfId="0" applyFont="1" applyFill="1" applyBorder="1" applyAlignment="1">
      <alignment horizontal="center" wrapText="1"/>
    </xf>
    <xf numFmtId="0" fontId="48" fillId="8" borderId="47" xfId="0" applyFont="1" applyFill="1" applyBorder="1" applyAlignment="1">
      <alignment horizontal="center" wrapText="1"/>
    </xf>
    <xf numFmtId="0" fontId="52" fillId="8" borderId="0" xfId="0" applyFont="1" applyFill="1" applyAlignment="1">
      <alignment horizontal="center" vertical="top" wrapText="1"/>
    </xf>
    <xf numFmtId="0" fontId="66" fillId="8" borderId="35" xfId="9" applyFont="1" applyFill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18" fillId="0" borderId="1" xfId="15" applyFont="1" applyBorder="1" applyAlignment="1">
      <alignment horizontal="center" vertical="center" wrapText="1"/>
    </xf>
    <xf numFmtId="0" fontId="18" fillId="0" borderId="0" xfId="15" applyFont="1" applyAlignment="1">
      <alignment horizontal="center" vertical="center" wrapText="1"/>
    </xf>
    <xf numFmtId="0" fontId="18" fillId="0" borderId="0" xfId="15" applyFont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top" wrapText="1"/>
    </xf>
    <xf numFmtId="10" fontId="14" fillId="2" borderId="0" xfId="0" applyNumberFormat="1" applyFont="1" applyFill="1" applyAlignment="1">
      <alignment horizontal="left" vertical="top"/>
    </xf>
    <xf numFmtId="0" fontId="13" fillId="3" borderId="1" xfId="9" applyFont="1" applyFill="1" applyBorder="1" applyAlignment="1">
      <alignment horizontal="center" vertical="center" wrapText="1"/>
    </xf>
    <xf numFmtId="0" fontId="51" fillId="0" borderId="56" xfId="17" applyFont="1" applyBorder="1" applyAlignment="1">
      <alignment horizontal="center" wrapText="1"/>
    </xf>
    <xf numFmtId="0" fontId="51" fillId="0" borderId="57" xfId="17" applyFont="1" applyBorder="1" applyAlignment="1">
      <alignment horizontal="center" wrapText="1"/>
    </xf>
    <xf numFmtId="0" fontId="51" fillId="0" borderId="58" xfId="17" applyFont="1" applyBorder="1" applyAlignment="1">
      <alignment horizontal="center" wrapText="1"/>
    </xf>
    <xf numFmtId="0" fontId="34" fillId="8" borderId="35" xfId="0" applyFont="1" applyFill="1" applyBorder="1" applyAlignment="1">
      <alignment horizontal="center" wrapText="1"/>
    </xf>
    <xf numFmtId="0" fontId="45" fillId="8" borderId="35" xfId="0" applyFont="1" applyFill="1" applyBorder="1" applyAlignment="1">
      <alignment horizontal="center" vertical="center" wrapText="1"/>
    </xf>
    <xf numFmtId="0" fontId="22" fillId="0" borderId="52" xfId="17" applyFont="1" applyBorder="1" applyAlignment="1">
      <alignment horizontal="center" vertical="center"/>
    </xf>
    <xf numFmtId="0" fontId="22" fillId="0" borderId="53" xfId="17" applyFont="1" applyBorder="1" applyAlignment="1">
      <alignment horizontal="center" vertical="center"/>
    </xf>
    <xf numFmtId="0" fontId="22" fillId="0" borderId="48" xfId="17" applyFont="1" applyBorder="1" applyAlignment="1">
      <alignment horizontal="center" vertical="center"/>
    </xf>
    <xf numFmtId="0" fontId="22" fillId="0" borderId="5" xfId="17" applyFont="1" applyBorder="1" applyAlignment="1">
      <alignment horizontal="center" vertical="center"/>
    </xf>
    <xf numFmtId="4" fontId="42" fillId="13" borderId="5" xfId="17" applyNumberFormat="1" applyFont="1" applyFill="1" applyBorder="1" applyAlignment="1">
      <alignment horizontal="center" vertical="center"/>
    </xf>
    <xf numFmtId="0" fontId="42" fillId="13" borderId="5" xfId="17" applyFont="1" applyFill="1" applyBorder="1" applyAlignment="1">
      <alignment horizontal="center" vertical="center"/>
    </xf>
    <xf numFmtId="164" fontId="51" fillId="0" borderId="54" xfId="17" applyNumberFormat="1" applyFont="1" applyBorder="1" applyAlignment="1">
      <alignment horizontal="center" vertical="center"/>
    </xf>
    <xf numFmtId="164" fontId="51" fillId="0" borderId="55" xfId="17" applyNumberFormat="1" applyFont="1" applyBorder="1" applyAlignment="1">
      <alignment horizontal="center" vertical="center"/>
    </xf>
    <xf numFmtId="164" fontId="51" fillId="0" borderId="49" xfId="17" applyNumberFormat="1" applyFont="1" applyBorder="1" applyAlignment="1">
      <alignment horizontal="center" vertical="center"/>
    </xf>
    <xf numFmtId="0" fontId="22" fillId="0" borderId="50" xfId="17" applyFont="1" applyBorder="1" applyAlignment="1">
      <alignment horizontal="center" vertical="center"/>
    </xf>
    <xf numFmtId="164" fontId="51" fillId="0" borderId="51" xfId="17" applyNumberFormat="1" applyFont="1" applyBorder="1" applyAlignment="1">
      <alignment horizontal="center" vertical="center"/>
    </xf>
    <xf numFmtId="0" fontId="55" fillId="0" borderId="0" xfId="17" applyFont="1" applyAlignment="1">
      <alignment horizontal="center" vertical="center"/>
    </xf>
    <xf numFmtId="4" fontId="42" fillId="13" borderId="8" xfId="17" applyNumberFormat="1" applyFont="1" applyFill="1" applyBorder="1" applyAlignment="1">
      <alignment horizontal="center" vertical="center"/>
    </xf>
    <xf numFmtId="4" fontId="42" fillId="13" borderId="13" xfId="17" applyNumberFormat="1" applyFont="1" applyFill="1" applyBorder="1" applyAlignment="1">
      <alignment horizontal="center" vertical="center"/>
    </xf>
    <xf numFmtId="4" fontId="42" fillId="13" borderId="10" xfId="17" applyNumberFormat="1" applyFont="1" applyFill="1" applyBorder="1" applyAlignment="1">
      <alignment horizontal="center" vertical="center"/>
    </xf>
    <xf numFmtId="0" fontId="22" fillId="0" borderId="8" xfId="17" applyFont="1" applyBorder="1" applyAlignment="1">
      <alignment horizontal="center" vertical="center"/>
    </xf>
    <xf numFmtId="0" fontId="22" fillId="0" borderId="13" xfId="17" applyFont="1" applyBorder="1" applyAlignment="1">
      <alignment horizontal="center" vertical="center"/>
    </xf>
    <xf numFmtId="0" fontId="22" fillId="0" borderId="10" xfId="17" applyFont="1" applyBorder="1" applyAlignment="1">
      <alignment horizontal="center" vertical="center"/>
    </xf>
    <xf numFmtId="164" fontId="42" fillId="13" borderId="5" xfId="4" applyFont="1" applyFill="1" applyBorder="1" applyAlignment="1" applyProtection="1">
      <alignment horizontal="center" vertical="center"/>
    </xf>
    <xf numFmtId="0" fontId="44" fillId="8" borderId="35" xfId="0" applyFont="1" applyFill="1" applyBorder="1" applyAlignment="1">
      <alignment horizontal="center" vertical="center" wrapText="1"/>
    </xf>
    <xf numFmtId="0" fontId="22" fillId="6" borderId="48" xfId="17" applyFont="1" applyFill="1" applyBorder="1" applyAlignment="1">
      <alignment horizontal="center" vertical="center"/>
    </xf>
    <xf numFmtId="0" fontId="22" fillId="6" borderId="50" xfId="17" applyFont="1" applyFill="1" applyBorder="1" applyAlignment="1">
      <alignment horizontal="center" vertical="center"/>
    </xf>
    <xf numFmtId="0" fontId="22" fillId="6" borderId="10" xfId="17" applyFont="1" applyFill="1" applyBorder="1" applyAlignment="1">
      <alignment horizontal="center" vertical="center"/>
    </xf>
    <xf numFmtId="0" fontId="22" fillId="6" borderId="5" xfId="17" applyFont="1" applyFill="1" applyBorder="1" applyAlignment="1">
      <alignment horizontal="center" vertical="center"/>
    </xf>
    <xf numFmtId="164" fontId="22" fillId="6" borderId="10" xfId="4" applyFont="1" applyFill="1" applyBorder="1" applyAlignment="1" applyProtection="1">
      <alignment horizontal="center" vertical="center"/>
    </xf>
    <xf numFmtId="164" fontId="22" fillId="6" borderId="5" xfId="4" applyFont="1" applyFill="1" applyBorder="1" applyAlignment="1" applyProtection="1">
      <alignment horizontal="center" vertical="center"/>
    </xf>
    <xf numFmtId="2" fontId="22" fillId="5" borderId="50" xfId="9" applyNumberFormat="1" applyFont="1" applyFill="1" applyBorder="1" applyAlignment="1">
      <alignment horizontal="center" vertical="center"/>
    </xf>
    <xf numFmtId="2" fontId="22" fillId="5" borderId="5" xfId="9" applyNumberFormat="1" applyFont="1" applyFill="1" applyBorder="1" applyAlignment="1">
      <alignment horizontal="center" vertical="center"/>
    </xf>
    <xf numFmtId="0" fontId="49" fillId="0" borderId="35" xfId="0" applyFont="1" applyBorder="1" applyAlignment="1">
      <alignment horizontal="left" wrapText="1"/>
    </xf>
    <xf numFmtId="0" fontId="50" fillId="0" borderId="35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57" fillId="0" borderId="20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57" fillId="0" borderId="25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59" fillId="14" borderId="20" xfId="0" applyFont="1" applyFill="1" applyBorder="1" applyAlignment="1">
      <alignment horizontal="center" vertical="center" wrapText="1"/>
    </xf>
    <xf numFmtId="0" fontId="59" fillId="14" borderId="21" xfId="0" applyFont="1" applyFill="1" applyBorder="1" applyAlignment="1">
      <alignment horizontal="center" vertical="center" wrapText="1"/>
    </xf>
    <xf numFmtId="0" fontId="59" fillId="14" borderId="25" xfId="0" applyFont="1" applyFill="1" applyBorder="1" applyAlignment="1">
      <alignment horizontal="center" vertical="center" wrapText="1"/>
    </xf>
    <xf numFmtId="0" fontId="59" fillId="14" borderId="1" xfId="0" applyFont="1" applyFill="1" applyBorder="1" applyAlignment="1">
      <alignment horizontal="center" vertical="center" wrapText="1"/>
    </xf>
    <xf numFmtId="0" fontId="59" fillId="14" borderId="0" xfId="0" applyFont="1" applyFill="1" applyAlignment="1">
      <alignment horizontal="center" vertical="center" wrapText="1"/>
    </xf>
    <xf numFmtId="0" fontId="59" fillId="14" borderId="2" xfId="0" applyFont="1" applyFill="1" applyBorder="1" applyAlignment="1">
      <alignment horizontal="center" vertical="center" wrapText="1"/>
    </xf>
    <xf numFmtId="0" fontId="59" fillId="14" borderId="26" xfId="0" applyFont="1" applyFill="1" applyBorder="1" applyAlignment="1">
      <alignment horizontal="center" vertical="center" wrapText="1"/>
    </xf>
    <xf numFmtId="0" fontId="59" fillId="14" borderId="27" xfId="0" applyFont="1" applyFill="1" applyBorder="1" applyAlignment="1">
      <alignment horizontal="center" vertical="center" wrapText="1"/>
    </xf>
    <xf numFmtId="0" fontId="59" fillId="14" borderId="28" xfId="0" applyFont="1" applyFill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60" fillId="0" borderId="30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left" vertical="center"/>
    </xf>
    <xf numFmtId="0" fontId="60" fillId="0" borderId="11" xfId="0" applyFont="1" applyBorder="1" applyAlignment="1">
      <alignment horizontal="left" vertical="center"/>
    </xf>
    <xf numFmtId="0" fontId="8" fillId="0" borderId="0" xfId="0" applyFont="1"/>
    <xf numFmtId="0" fontId="62" fillId="15" borderId="34" xfId="0" applyFont="1" applyFill="1" applyBorder="1" applyAlignment="1">
      <alignment horizontal="left" vertical="center"/>
    </xf>
    <xf numFmtId="0" fontId="62" fillId="15" borderId="22" xfId="0" applyFont="1" applyFill="1" applyBorder="1" applyAlignment="1">
      <alignment horizontal="left" vertical="center"/>
    </xf>
    <xf numFmtId="0" fontId="63" fillId="0" borderId="20" xfId="0" applyFont="1" applyBorder="1" applyAlignment="1">
      <alignment horizontal="left" vertical="top" wrapText="1"/>
    </xf>
    <xf numFmtId="0" fontId="63" fillId="0" borderId="21" xfId="0" applyFont="1" applyBorder="1" applyAlignment="1">
      <alignment horizontal="left" vertical="top" wrapText="1"/>
    </xf>
    <xf numFmtId="0" fontId="63" fillId="0" borderId="25" xfId="0" applyFont="1" applyBorder="1" applyAlignment="1">
      <alignment horizontal="left" vertical="top" wrapText="1"/>
    </xf>
    <xf numFmtId="0" fontId="63" fillId="0" borderId="1" xfId="0" applyFont="1" applyBorder="1" applyAlignment="1">
      <alignment horizontal="left" vertical="top" wrapText="1"/>
    </xf>
    <xf numFmtId="0" fontId="63" fillId="0" borderId="0" xfId="0" applyFont="1" applyAlignment="1">
      <alignment horizontal="left" vertical="top" wrapText="1"/>
    </xf>
    <xf numFmtId="0" fontId="63" fillId="0" borderId="2" xfId="0" applyFont="1" applyBorder="1" applyAlignment="1">
      <alignment horizontal="left" vertical="top" wrapText="1"/>
    </xf>
    <xf numFmtId="0" fontId="63" fillId="0" borderId="17" xfId="0" applyFont="1" applyBorder="1" applyAlignment="1">
      <alignment horizontal="left" vertical="top" wrapText="1"/>
    </xf>
    <xf numFmtId="0" fontId="63" fillId="0" borderId="18" xfId="0" applyFont="1" applyBorder="1" applyAlignment="1">
      <alignment horizontal="left" vertical="top" wrapText="1"/>
    </xf>
    <xf numFmtId="0" fontId="63" fillId="0" borderId="19" xfId="0" applyFont="1" applyBorder="1" applyAlignment="1">
      <alignment horizontal="left" vertical="top" wrapText="1"/>
    </xf>
  </cellXfs>
  <cellStyles count="39">
    <cellStyle name="Hiperlink 2" xfId="2"/>
    <cellStyle name="Hiperlink 3" xfId="3"/>
    <cellStyle name="Moeda" xfId="38" builtinId="4"/>
    <cellStyle name="Moeda 2" xfId="4"/>
    <cellStyle name="Moeda 2 2" xfId="5"/>
    <cellStyle name="Moeda 3" xfId="6"/>
    <cellStyle name="Normal" xfId="0" builtinId="0"/>
    <cellStyle name="Normal 10" xfId="7"/>
    <cellStyle name="Normal 10 2" xfId="8"/>
    <cellStyle name="Normal 2" xfId="9"/>
    <cellStyle name="Normal 2 10" xfId="10"/>
    <cellStyle name="Normal 2 2" xfId="11"/>
    <cellStyle name="Normal 2 2 2 2" xfId="12"/>
    <cellStyle name="Normal 2 2 2 2 4" xfId="13"/>
    <cellStyle name="Normal 2 2 2 4" xfId="14"/>
    <cellStyle name="Normal 2 2 3 2" xfId="15"/>
    <cellStyle name="Normal 2 3" xfId="16"/>
    <cellStyle name="Normal 2 3 2" xfId="37"/>
    <cellStyle name="Normal 3" xfId="17"/>
    <cellStyle name="Normal 39" xfId="18"/>
    <cellStyle name="Normal 39 2" xfId="19"/>
    <cellStyle name="Normal 4" xfId="20"/>
    <cellStyle name="Normal 4 2 2" xfId="21"/>
    <cellStyle name="Normal 4 2 4" xfId="22"/>
    <cellStyle name="Normal 5" xfId="23"/>
    <cellStyle name="Normal 6" xfId="24"/>
    <cellStyle name="Normal 7" xfId="25"/>
    <cellStyle name="Porcentagem" xfId="1" builtinId="5"/>
    <cellStyle name="Porcentagem 2" xfId="26"/>
    <cellStyle name="Porcentagem 2 2" xfId="27"/>
    <cellStyle name="Porcentagem 3" xfId="28"/>
    <cellStyle name="Vírgula 12 2 3" xfId="29"/>
    <cellStyle name="Vírgula 13" xfId="30"/>
    <cellStyle name="Vírgula 2" xfId="31"/>
    <cellStyle name="Vírgula 2 2" xfId="32"/>
    <cellStyle name="Vírgula 2 2 2" xfId="33"/>
    <cellStyle name="Vírgula 3" xfId="34"/>
    <cellStyle name="Vírgula 4" xfId="35"/>
    <cellStyle name="Vírgula 5" xfId="36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9D9D9"/>
      <rgbColor rgb="FF0000FF"/>
      <rgbColor rgb="FFFFFF00"/>
      <rgbColor rgb="FFEFEFEF"/>
      <rgbColor rgb="FF00FFFF"/>
      <rgbColor rgb="FF9C0006"/>
      <rgbColor rgb="FFDFF0D8"/>
      <rgbColor rgb="FF000080"/>
      <rgbColor rgb="FF8ED973"/>
      <rgbColor rgb="FF800080"/>
      <rgbColor rgb="FF156082"/>
      <rgbColor rgb="FFC0C0C0"/>
      <rgbColor rgb="FF7F7F7F"/>
      <rgbColor rgb="FF528ED4"/>
      <rgbColor rgb="FFD6D6D6"/>
      <rgbColor rgb="FFF7F3DF"/>
      <rgbColor rgb="FFD8ECF6"/>
      <rgbColor rgb="FF660066"/>
      <rgbColor rgb="FFCCCCCC"/>
      <rgbColor rgb="FF0070C0"/>
      <rgbColor rgb="FFC4D8F0"/>
      <rgbColor rgb="FF000080"/>
      <rgbColor rgb="FFFF00FF"/>
      <rgbColor rgb="FFD9F2D0"/>
      <rgbColor rgb="FFC1E5F5"/>
      <rgbColor rgb="FF800080"/>
      <rgbColor rgb="FF800000"/>
      <rgbColor rgb="FFC6D9F1"/>
      <rgbColor rgb="FF0000FF"/>
      <rgbColor rgb="FF00B0F0"/>
      <rgbColor rgb="FFDCEAF7"/>
      <rgbColor rgb="FFC2F1C8"/>
      <rgbColor rgb="FFFFFF99"/>
      <rgbColor rgb="FF83CBEB"/>
      <rgbColor rgb="FFFFC7CE"/>
      <rgbColor rgb="FFBFBFBF"/>
      <rgbColor rgb="FFF6C6AD"/>
      <rgbColor rgb="FF2D7FCF"/>
      <rgbColor rgb="FF47D45A"/>
      <rgbColor rgb="FF92D050"/>
      <rgbColor rgb="FFB4E5A2"/>
      <rgbColor rgb="FFD1D1D1"/>
      <rgbColor rgb="FFF2CFEE"/>
      <rgbColor rgb="FF467886"/>
      <rgbColor rgb="FFA6A6A6"/>
      <rgbColor rgb="FF003366"/>
      <rgbColor rgb="FF00B050"/>
      <rgbColor rgb="FF003300"/>
      <rgbColor rgb="FF333300"/>
      <rgbColor rgb="FFC9211E"/>
      <rgbColor rgb="FFCFD6E4"/>
      <rgbColor rgb="FFE9F0D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FEE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202320</xdr:colOff>
      <xdr:row>0</xdr:row>
      <xdr:rowOff>83520</xdr:rowOff>
    </xdr:from>
    <xdr:to>
      <xdr:col>7</xdr:col>
      <xdr:colOff>875880</xdr:colOff>
      <xdr:row>0</xdr:row>
      <xdr:rowOff>920880</xdr:rowOff>
    </xdr:to>
    <xdr:pic>
      <xdr:nvPicPr>
        <xdr:cNvPr id="7" name="Imagem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2320" y="83520"/>
          <a:ext cx="2679480" cy="837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5276271</xdr:colOff>
      <xdr:row>1387</xdr:row>
      <xdr:rowOff>277091</xdr:rowOff>
    </xdr:from>
    <xdr:to>
      <xdr:col>14</xdr:col>
      <xdr:colOff>285865</xdr:colOff>
      <xdr:row>1501</xdr:row>
      <xdr:rowOff>150090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55C1E347-BD19-480C-821E-58D1D4AC5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2426" b="57057"/>
        <a:stretch/>
      </xdr:blipFill>
      <xdr:spPr>
        <a:xfrm>
          <a:off x="7250544" y="11326091"/>
          <a:ext cx="7039957" cy="496454"/>
        </a:xfrm>
        <a:prstGeom prst="rect">
          <a:avLst/>
        </a:prstGeom>
      </xdr:spPr>
    </xdr:pic>
    <xdr:clientData/>
  </xdr:twoCellAnchor>
  <xdr:twoCellAnchor editAs="oneCell">
    <xdr:from>
      <xdr:col>7</xdr:col>
      <xdr:colOff>5290123</xdr:colOff>
      <xdr:row>1389</xdr:row>
      <xdr:rowOff>173181</xdr:rowOff>
    </xdr:from>
    <xdr:to>
      <xdr:col>14</xdr:col>
      <xdr:colOff>299717</xdr:colOff>
      <xdr:row>1486</xdr:row>
      <xdr:rowOff>69272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F7ACB595-C31B-40C7-B318-8E23C97E26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9608"/>
        <a:stretch/>
      </xdr:blipFill>
      <xdr:spPr>
        <a:xfrm>
          <a:off x="7264396" y="11926454"/>
          <a:ext cx="7039957" cy="242454"/>
        </a:xfrm>
        <a:prstGeom prst="rect">
          <a:avLst/>
        </a:prstGeom>
      </xdr:spPr>
    </xdr:pic>
    <xdr:clientData/>
  </xdr:twoCellAnchor>
  <xdr:twoCellAnchor editAs="oneCell">
    <xdr:from>
      <xdr:col>7</xdr:col>
      <xdr:colOff>5391728</xdr:colOff>
      <xdr:row>1384</xdr:row>
      <xdr:rowOff>127000</xdr:rowOff>
    </xdr:from>
    <xdr:to>
      <xdr:col>14</xdr:col>
      <xdr:colOff>417948</xdr:colOff>
      <xdr:row>1501</xdr:row>
      <xdr:rowOff>28648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CBC7A9A-DF19-4A40-A741-9B7806B282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92647"/>
        <a:stretch/>
      </xdr:blipFill>
      <xdr:spPr>
        <a:xfrm>
          <a:off x="7366001" y="10483273"/>
          <a:ext cx="7056583" cy="375012"/>
        </a:xfrm>
        <a:prstGeom prst="rect">
          <a:avLst/>
        </a:prstGeom>
      </xdr:spPr>
    </xdr:pic>
    <xdr:clientData/>
  </xdr:twoCellAnchor>
  <xdr:twoCellAnchor editAs="oneCell">
    <xdr:from>
      <xdr:col>15</xdr:col>
      <xdr:colOff>115455</xdr:colOff>
      <xdr:row>1851</xdr:row>
      <xdr:rowOff>11545</xdr:rowOff>
    </xdr:from>
    <xdr:to>
      <xdr:col>28</xdr:col>
      <xdr:colOff>390095</xdr:colOff>
      <xdr:row>2133</xdr:row>
      <xdr:rowOff>34637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DFFD98AE-4982-41EC-9F84-8DDD21183C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50268" b="28040"/>
        <a:stretch/>
      </xdr:blipFill>
      <xdr:spPr>
        <a:xfrm>
          <a:off x="15055273" y="10887363"/>
          <a:ext cx="9326277" cy="715819"/>
        </a:xfrm>
        <a:prstGeom prst="rect">
          <a:avLst/>
        </a:prstGeom>
      </xdr:spPr>
    </xdr:pic>
    <xdr:clientData/>
  </xdr:twoCellAnchor>
  <xdr:twoCellAnchor editAs="oneCell">
    <xdr:from>
      <xdr:col>11</xdr:col>
      <xdr:colOff>11547</xdr:colOff>
      <xdr:row>2389</xdr:row>
      <xdr:rowOff>265546</xdr:rowOff>
    </xdr:from>
    <xdr:to>
      <xdr:col>20</xdr:col>
      <xdr:colOff>12922</xdr:colOff>
      <xdr:row>2506</xdr:row>
      <xdr:rowOff>115455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752AD373-822A-4F24-9309-9F2E867AB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368" b="81967"/>
        <a:stretch/>
      </xdr:blipFill>
      <xdr:spPr>
        <a:xfrm>
          <a:off x="11210638" y="12873182"/>
          <a:ext cx="7783011" cy="635001"/>
        </a:xfrm>
        <a:prstGeom prst="rect">
          <a:avLst/>
        </a:prstGeom>
      </xdr:spPr>
    </xdr:pic>
    <xdr:clientData/>
  </xdr:twoCellAnchor>
  <xdr:twoCellAnchor editAs="oneCell">
    <xdr:from>
      <xdr:col>15</xdr:col>
      <xdr:colOff>57727</xdr:colOff>
      <xdr:row>1851</xdr:row>
      <xdr:rowOff>115455</xdr:rowOff>
    </xdr:from>
    <xdr:to>
      <xdr:col>28</xdr:col>
      <xdr:colOff>246630</xdr:colOff>
      <xdr:row>2133</xdr:row>
      <xdr:rowOff>150092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8C0167A5-5574-48A2-A82F-57CBEEEFF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78672"/>
        <a:stretch/>
      </xdr:blipFill>
      <xdr:spPr>
        <a:xfrm>
          <a:off x="14997545" y="10991273"/>
          <a:ext cx="9240540" cy="727364"/>
        </a:xfrm>
        <a:prstGeom prst="rect">
          <a:avLst/>
        </a:prstGeom>
      </xdr:spPr>
    </xdr:pic>
    <xdr:clientData/>
  </xdr:twoCellAnchor>
  <xdr:twoCellAnchor editAs="oneCell">
    <xdr:from>
      <xdr:col>15</xdr:col>
      <xdr:colOff>531093</xdr:colOff>
      <xdr:row>1501</xdr:row>
      <xdr:rowOff>127001</xdr:rowOff>
    </xdr:from>
    <xdr:to>
      <xdr:col>29</xdr:col>
      <xdr:colOff>237987</xdr:colOff>
      <xdr:row>2011</xdr:row>
      <xdr:rowOff>92365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E528B55F-C6B8-491A-A90D-BC5584EBB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49243"/>
        <a:stretch/>
      </xdr:blipFill>
      <xdr:spPr>
        <a:xfrm>
          <a:off x="15470911" y="9617365"/>
          <a:ext cx="9335803" cy="1697182"/>
        </a:xfrm>
        <a:prstGeom prst="rect">
          <a:avLst/>
        </a:prstGeom>
      </xdr:spPr>
    </xdr:pic>
    <xdr:clientData/>
  </xdr:twoCellAnchor>
  <xdr:twoCellAnchor editAs="oneCell">
    <xdr:from>
      <xdr:col>15</xdr:col>
      <xdr:colOff>71582</xdr:colOff>
      <xdr:row>1694</xdr:row>
      <xdr:rowOff>80819</xdr:rowOff>
    </xdr:from>
    <xdr:to>
      <xdr:col>28</xdr:col>
      <xdr:colOff>355748</xdr:colOff>
      <xdr:row>1851</xdr:row>
      <xdr:rowOff>136416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219BA7C2-AEFE-49B5-958B-FB95AABA57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72441"/>
        <a:stretch/>
      </xdr:blipFill>
      <xdr:spPr>
        <a:xfrm>
          <a:off x="15011400" y="10090728"/>
          <a:ext cx="9335803" cy="921506"/>
        </a:xfrm>
        <a:prstGeom prst="rect">
          <a:avLst/>
        </a:prstGeom>
      </xdr:spPr>
    </xdr:pic>
    <xdr:clientData/>
  </xdr:twoCellAnchor>
  <xdr:twoCellAnchor editAs="oneCell">
    <xdr:from>
      <xdr:col>15</xdr:col>
      <xdr:colOff>69269</xdr:colOff>
      <xdr:row>1501</xdr:row>
      <xdr:rowOff>69271</xdr:rowOff>
    </xdr:from>
    <xdr:to>
      <xdr:col>28</xdr:col>
      <xdr:colOff>277224</xdr:colOff>
      <xdr:row>2167</xdr:row>
      <xdr:rowOff>80817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C2F5C614-D0FB-4693-BAA5-BA85286C95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b="23892"/>
        <a:stretch/>
      </xdr:blipFill>
      <xdr:spPr>
        <a:xfrm>
          <a:off x="15009087" y="9559635"/>
          <a:ext cx="9259592" cy="2436091"/>
        </a:xfrm>
        <a:prstGeom prst="rect">
          <a:avLst/>
        </a:prstGeom>
      </xdr:spPr>
    </xdr:pic>
    <xdr:clientData/>
  </xdr:twoCellAnchor>
  <xdr:twoCellAnchor editAs="oneCell">
    <xdr:from>
      <xdr:col>7</xdr:col>
      <xdr:colOff>4733636</xdr:colOff>
      <xdr:row>3328</xdr:row>
      <xdr:rowOff>150091</xdr:rowOff>
    </xdr:from>
    <xdr:to>
      <xdr:col>16</xdr:col>
      <xdr:colOff>101459</xdr:colOff>
      <xdr:row>3384</xdr:row>
      <xdr:rowOff>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87782BF3-44F9-49A2-B59A-28F0B5CF70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38618" b="35911"/>
        <a:stretch/>
      </xdr:blipFill>
      <xdr:spPr>
        <a:xfrm>
          <a:off x="6707909" y="17375909"/>
          <a:ext cx="9326277" cy="715819"/>
        </a:xfrm>
        <a:prstGeom prst="rect">
          <a:avLst/>
        </a:prstGeom>
      </xdr:spPr>
    </xdr:pic>
    <xdr:clientData/>
  </xdr:twoCellAnchor>
  <xdr:twoCellAnchor editAs="oneCell">
    <xdr:from>
      <xdr:col>7</xdr:col>
      <xdr:colOff>704273</xdr:colOff>
      <xdr:row>5156</xdr:row>
      <xdr:rowOff>0</xdr:rowOff>
    </xdr:from>
    <xdr:to>
      <xdr:col>13</xdr:col>
      <xdr:colOff>196272</xdr:colOff>
      <xdr:row>5235</xdr:row>
      <xdr:rowOff>48666</xdr:rowOff>
    </xdr:to>
    <xdr:pic>
      <xdr:nvPicPr>
        <xdr:cNvPr id="145" name="Imagem 144">
          <a:extLst>
            <a:ext uri="{FF2B5EF4-FFF2-40B4-BE49-F238E27FC236}">
              <a16:creationId xmlns:a16="http://schemas.microsoft.com/office/drawing/2014/main" id="{A72A752E-1DB9-41D1-86E9-9DBB584D3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39665" b="50419"/>
        <a:stretch/>
      </xdr:blipFill>
      <xdr:spPr>
        <a:xfrm>
          <a:off x="2678546" y="34901909"/>
          <a:ext cx="10587181" cy="395029"/>
        </a:xfrm>
        <a:prstGeom prst="rect">
          <a:avLst/>
        </a:prstGeom>
      </xdr:spPr>
    </xdr:pic>
    <xdr:clientData/>
  </xdr:twoCellAnchor>
  <xdr:twoCellAnchor editAs="oneCell">
    <xdr:from>
      <xdr:col>7</xdr:col>
      <xdr:colOff>2516909</xdr:colOff>
      <xdr:row>5152</xdr:row>
      <xdr:rowOff>62124</xdr:rowOff>
    </xdr:from>
    <xdr:to>
      <xdr:col>15</xdr:col>
      <xdr:colOff>323274</xdr:colOff>
      <xdr:row>5175</xdr:row>
      <xdr:rowOff>23090</xdr:rowOff>
    </xdr:to>
    <xdr:pic>
      <xdr:nvPicPr>
        <xdr:cNvPr id="146" name="Imagem 145">
          <a:extLst>
            <a:ext uri="{FF2B5EF4-FFF2-40B4-BE49-F238E27FC236}">
              <a16:creationId xmlns:a16="http://schemas.microsoft.com/office/drawing/2014/main" id="{1733C43E-99F2-4036-82CE-F82C7C275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87051" b="3132"/>
        <a:stretch/>
      </xdr:blipFill>
      <xdr:spPr>
        <a:xfrm>
          <a:off x="4491182" y="29064306"/>
          <a:ext cx="10771910" cy="480511"/>
        </a:xfrm>
        <a:prstGeom prst="rect">
          <a:avLst/>
        </a:prstGeom>
      </xdr:spPr>
    </xdr:pic>
    <xdr:clientData/>
  </xdr:twoCellAnchor>
  <xdr:twoCellAnchor editAs="oneCell">
    <xdr:from>
      <xdr:col>9</xdr:col>
      <xdr:colOff>718125</xdr:colOff>
      <xdr:row>4594</xdr:row>
      <xdr:rowOff>71581</xdr:rowOff>
    </xdr:from>
    <xdr:to>
      <xdr:col>19</xdr:col>
      <xdr:colOff>349582</xdr:colOff>
      <xdr:row>4685</xdr:row>
      <xdr:rowOff>136238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79508276-51E5-4D39-B18F-9778A85F6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15266" b="80559"/>
        <a:stretch/>
      </xdr:blipFill>
      <xdr:spPr>
        <a:xfrm>
          <a:off x="10046852" y="35516126"/>
          <a:ext cx="8602275" cy="309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393700</xdr:colOff>
      <xdr:row>0</xdr:row>
      <xdr:rowOff>25400</xdr:rowOff>
    </xdr:from>
    <xdr:ext cx="2832100" cy="7874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9378BA75-CC39-47FC-B791-96B1A04E63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52200" y="25400"/>
          <a:ext cx="2832100" cy="7874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61</xdr:row>
      <xdr:rowOff>685800</xdr:rowOff>
    </xdr:from>
    <xdr:to>
      <xdr:col>2</xdr:col>
      <xdr:colOff>2548790</xdr:colOff>
      <xdr:row>63</xdr:row>
      <xdr:rowOff>341805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8F622F3-C544-4BE8-A8B0-F85670EB34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0" y="13125450"/>
          <a:ext cx="2872640" cy="5227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619125</xdr:colOff>
      <xdr:row>61</xdr:row>
      <xdr:rowOff>647700</xdr:rowOff>
    </xdr:from>
    <xdr:to>
      <xdr:col>7</xdr:col>
      <xdr:colOff>2825015</xdr:colOff>
      <xdr:row>63</xdr:row>
      <xdr:rowOff>303705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2D361BD1-5605-422F-8427-92514D37906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00925" y="13087350"/>
          <a:ext cx="2872640" cy="5227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447675</xdr:colOff>
      <xdr:row>29</xdr:row>
      <xdr:rowOff>161925</xdr:rowOff>
    </xdr:from>
    <xdr:to>
      <xdr:col>2</xdr:col>
      <xdr:colOff>2653565</xdr:colOff>
      <xdr:row>30</xdr:row>
      <xdr:rowOff>513255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36D4C50-6A95-4018-B425-BE36D44CC4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14425" y="5505450"/>
          <a:ext cx="2872640" cy="5227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523875</xdr:colOff>
      <xdr:row>30</xdr:row>
      <xdr:rowOff>9525</xdr:rowOff>
    </xdr:from>
    <xdr:to>
      <xdr:col>7</xdr:col>
      <xdr:colOff>2729765</xdr:colOff>
      <xdr:row>30</xdr:row>
      <xdr:rowOff>532305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A56C9332-1A0B-4556-8C91-82FD477BA3F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5675" y="5524500"/>
          <a:ext cx="2872640" cy="5227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lcl\lcl\PROJETOS%20DIVERSOS\Agua-Porto%20Velho\A.G.%20Resposta_ADM\Administra&#231;&#227;o%20Lo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DUARDO%20ALVES\Sinapi\C&#193;LCULO%20DE%20TAXAS_HABITE-SE%20E%20ALVAR&#19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834%20-%20Constru&#231;&#227;o%20de%20CRAS%20-%20CR%201091779-72%20(952091)%20-%20Bel&#233;m\07.%20Enviados\PO_UBS_CRAS-BELEM_A_MODELO(Recuperado%20Automaticamente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-%20%20Trabalhos%20Atuais%20UFPB\AULAS\Tecnologia%20II%20%2005.2\Equipe%20BrunaJulianaThais\Terceiro\Planilhas%20-%20predi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d627f3755fccb5b/Governo%20de%20Pernambuco/ACIDES/OR&#199;AMENTO%20FINALIZADO/V02/Memoria%20de%20C&#225;lculo%20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d627f3755fccb5b/Governo%20de%20Pernambuco/ACIDES/OR&#199;AMENTO%20FINALIZADO/V04/ANEXO_2_ACIDES_1_ETAPA_MATRIZ_RISC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NDO\d\LICITA&#199;&#213;ES%20ENCERRADAS%20OU%20%20CONCLU&#205;DAS\UFRN%20-%20CONCORRENCIA%2003-2010%20DIA%2004-06-2010%20AS%2009HS%20-%20LINHA%2069KV\PLANILHA-UFRN%20CC-03-R0%20=%20PR&#199;%20+%2030%2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lcl\lcl\Licita&#231;&#245;es\CLIENTES\ATECEL\Licita&#231;&#245;es\Elementos\CGrandeZO_Colinas\Or&#231;amento\CGrande_Colinas%20do%20Sol_Or&#231;a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enharia01\D-eng01\Meus%20documentos_Eng%201D\PREFEITURAS%20MUNICIPAIS%20ENG.%201\Joao%20Pessoa\JO&#195;O%20PESSOA%202005\Al&#231;a%20Beira%20Rio_2004\relat&#243;rio\Der\DER\PB008norte\Pb008n-RelFinal01\Pb008n-RelFinal01-Dimens&amp;ComparaPavi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aroldo\Meus%20documentos\GEOSOLO\PAVIMENT_VG\Medi&#231;&#227;o%20n&#186;%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lcl\lcl\CLIENTES\ATECEL\Licita&#231;&#245;es\Elementos\CGrandeZO_Colinas\Or&#231;amento\CGrande_Colinas%20do%20Sol_Or&#231;a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o_19654\DEINFRA\Licita&#231;&#245;es\EM%20AB&#205;LIO%20GOMES\LICITA&#199;&#195;O%20-%20EM%20AB&#205;LIO%20GOMES\OR&#199;AMENTO\01-ORCAMENTO\ORC_LIC_EM_ABILIO_GOMES_DES_R0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d627f3755fccb5b/Governo%20de%20Pernambuco/Creches/OR&#199;AMENTO/LOTE%2001%20OR&#199;AMENTO%20CRECHES-REV0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6c4d075933d6b41/&#193;rea%20de%20Trabalho/ANDR&#201;IA/SAD/CRECHE/LOTES/REV05/C.U.%20LO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USTAQUIO\Tecnica%20%201%20recuperado\Programa%20RECURSOS%20PR&#211;PRIOS%20DO%20ESTADO%20-%20MTL\JO&#195;O%20PESSOA_CIDADE%20VERDE_197%20u.h\Desmatamento%20e%20Arruamento_OR&#199;AMENTO%20AN&#193;LISE%20CAIXA_BASE%2011.2008_Or&#231;aLicit_05.10.200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programas\Documents%20and%20Settings\C%20arlos%20%20Machado\My%20Documents\Disco%201\BR-262-MS(3)\Anexos%20PGQ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emp\AEG-OLD$\ar250\Projetos\Esta&#231;&#227;o%20Ci&#234;ncia%20-%20Niemeyer\Or&#231;amento\Or&#231;amento%20Final\Estacao%20Ciencia%20Or&#231;amento%20Concorr&#234;ncia%20012-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lcl\lcl\PROJETOS%20DIVERSOS\Agua-Porto%20Velho\A.G.%20Resposta_ADM\Adm%20Local%20-%20Porto%20Vel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6c4d075933d6b41/&#193;rea%20de%20Trabalho/ANDR&#201;IA/SAD/CRECHE/LOTES/REV05/Sheet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ssoalcomp\c\Documents%20and%20Settings\pessoal\My%20Documents\Licita&#231;&#245;es%20Constru&#231;&#227;o\Composi&#231;&#227;o\DER\PM%20CABEDELO\composi&#231;ao%20Misula%20-%20Cabedelo%20-%20Portico%20-%20at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 Local  -RESUMO"/>
      <sheetName val="Adm Local "/>
      <sheetName val="Eng3"/>
      <sheetName val="Eng2"/>
      <sheetName val="Eng1"/>
      <sheetName val="Eng.Assist"/>
      <sheetName val="Chefe de Seção"/>
      <sheetName val="Médico_Trabalho"/>
      <sheetName val="Mestre_Obra"/>
      <sheetName val="Tec_Medio 3"/>
      <sheetName val="Tec_Medio 2"/>
      <sheetName val="Tec_Medio 1"/>
      <sheetName val="Enc_Pessoal"/>
      <sheetName val="Enc_Financeiro"/>
      <sheetName val="Encarregado Serv Gerais"/>
      <sheetName val="Encarregado Geral"/>
      <sheetName val="Téc_Segurança"/>
      <sheetName val="Téc_Enfermagem"/>
      <sheetName val="Auxiliar_Técnico"/>
      <sheetName val="Secretária"/>
      <sheetName val="Recepcionista"/>
      <sheetName val="Topógrafo"/>
      <sheetName val="Almoxarife"/>
      <sheetName val="Apontador"/>
      <sheetName val="Aux_Almoxarife"/>
      <sheetName val="Aux_Pessoal"/>
      <sheetName val="Aux_Topografia"/>
      <sheetName val="Aux_Segurança"/>
      <sheetName val="Aux_Enfermagem"/>
      <sheetName val="MOD"/>
      <sheetName val="reforma"/>
      <sheetName val="Insumos"/>
      <sheetName val="Eventograma_e_Quantitativos"/>
      <sheetName val="DADOS"/>
      <sheetName val="Cronograma"/>
      <sheetName val="CronoPrev"/>
      <sheetName val="Detalhamento"/>
      <sheetName val="PLE"/>
      <sheetName val="Resumo_de_Acompanh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Proposta 1"/>
      <sheetName val="Orçamento Proposta 2"/>
      <sheetName val="Eventograma_e_Quantitativos"/>
      <sheetName val="DADOS"/>
      <sheetName val="Cronograma"/>
      <sheetName val="CronoPrev"/>
      <sheetName val="Detalhamento"/>
      <sheetName val="PLE"/>
      <sheetName val="Resumo_de_Acompanhamento"/>
    </sheetNames>
    <sheetDataSet>
      <sheetData sheetId="0">
        <row r="1">
          <cell r="AO1">
            <v>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. Prel."/>
      <sheetName val="Capa"/>
      <sheetName val="Encargos"/>
      <sheetName val="BDI"/>
      <sheetName val="BDI fornecimento"/>
      <sheetName val="Cotação"/>
      <sheetName val="relatorio Conde "/>
      <sheetName val="Composição"/>
      <sheetName val="Resumo_Pavim"/>
      <sheetName val="Gráfico1"/>
      <sheetName val="Gráfico2"/>
      <sheetName val="M.Cálc.Quant."/>
      <sheetName val="Plan.Orçam."/>
      <sheetName val="Plan. Orçam. Resumo"/>
      <sheetName val="QCI"/>
      <sheetName val="Cronog CP financeira"/>
      <sheetName val="Crono auxiliar"/>
      <sheetName val="Dados_Intesidade"/>
      <sheetName val="DADOS"/>
      <sheetName val="Eventograma_e_Quantitativos"/>
      <sheetName val="Detalhamento"/>
      <sheetName val="Cronograma"/>
      <sheetName val="PLE"/>
      <sheetName val="Resumo_de_Acompanhamento"/>
      <sheetName val="Agrup.Eventos"/>
      <sheetName val="Sinapi_Comp-07.2023"/>
      <sheetName val="Sinapi_Insum-07.2023"/>
      <sheetName val="DER"/>
      <sheetName val="GIDUR"/>
      <sheetName val="ART"/>
      <sheetName val="Crono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D10" t="str">
            <v>Belém/PB</v>
          </cell>
        </row>
        <row r="20">
          <cell r="A20" t="str">
            <v>Lincoln Cartaxo de Lira Júnior</v>
          </cell>
          <cell r="C20" t="str">
            <v>160.814.689-8</v>
          </cell>
        </row>
        <row r="33">
          <cell r="A33" t="str">
            <v>Núm do Evento</v>
          </cell>
        </row>
        <row r="34">
          <cell r="A34">
            <v>1</v>
          </cell>
        </row>
      </sheetData>
      <sheetData sheetId="19">
        <row r="15">
          <cell r="N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</row>
        <row r="36">
          <cell r="B36">
            <v>18</v>
          </cell>
          <cell r="C36" t="str">
            <v>Evento</v>
          </cell>
          <cell r="D36" t="e">
            <v>#N/A</v>
          </cell>
          <cell r="E36" t="str">
            <v/>
          </cell>
          <cell r="F36" t="e">
            <v>#N/A</v>
          </cell>
          <cell r="G36" t="str">
            <v/>
          </cell>
          <cell r="H36" t="str">
            <v/>
          </cell>
          <cell r="I36" t="e">
            <v>#REF!</v>
          </cell>
          <cell r="K36">
            <v>1</v>
          </cell>
          <cell r="L36" t="str">
            <v/>
          </cell>
          <cell r="N36" t="e">
            <v>#REF!</v>
          </cell>
          <cell r="O36" t="e">
            <v>#REF!</v>
          </cell>
          <cell r="P36" t="e">
            <v>#REF!</v>
          </cell>
          <cell r="Q36" t="e">
            <v>#REF!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</row>
      </sheetData>
      <sheetData sheetId="20">
        <row r="6">
          <cell r="B6" t="str">
            <v>Eventos</v>
          </cell>
        </row>
        <row r="7">
          <cell r="B7" t="str">
            <v>Orçamento</v>
          </cell>
        </row>
        <row r="9">
          <cell r="B9" t="str">
            <v>Todos</v>
          </cell>
        </row>
        <row r="10">
          <cell r="B10" t="str">
            <v>Executados</v>
          </cell>
        </row>
        <row r="11">
          <cell r="B11" t="str">
            <v>A Executar</v>
          </cell>
        </row>
        <row r="12">
          <cell r="B12">
            <v>1</v>
          </cell>
        </row>
      </sheetData>
      <sheetData sheetId="21">
        <row r="38">
          <cell r="B38" t="str">
            <v>Cronograma</v>
          </cell>
          <cell r="G38">
            <v>1</v>
          </cell>
          <cell r="K38">
            <v>2</v>
          </cell>
          <cell r="O38">
            <v>3</v>
          </cell>
          <cell r="S38">
            <v>4</v>
          </cell>
          <cell r="W38">
            <v>5</v>
          </cell>
          <cell r="AA38">
            <v>6</v>
          </cell>
          <cell r="AE38">
            <v>7</v>
          </cell>
          <cell r="AI38">
            <v>8</v>
          </cell>
          <cell r="AM38">
            <v>9</v>
          </cell>
          <cell r="AQ38">
            <v>10</v>
          </cell>
          <cell r="AU38">
            <v>11</v>
          </cell>
          <cell r="AY38">
            <v>12</v>
          </cell>
        </row>
        <row r="39">
          <cell r="B39" t="str">
            <v>Parcela</v>
          </cell>
          <cell r="E39" t="str">
            <v>%</v>
          </cell>
          <cell r="G39" t="e">
            <v>#REF!</v>
          </cell>
          <cell r="K39" t="e">
            <v>#REF!</v>
          </cell>
          <cell r="O39" t="e">
            <v>#REF!</v>
          </cell>
          <cell r="S39" t="e">
            <v>#REF!</v>
          </cell>
          <cell r="W39" t="e">
            <v>#REF!</v>
          </cell>
          <cell r="AA39" t="e">
            <v>#REF!</v>
          </cell>
          <cell r="AE39" t="e">
            <v>#REF!</v>
          </cell>
          <cell r="AI39" t="e">
            <v>#REF!</v>
          </cell>
          <cell r="AM39" t="e">
            <v>#REF!</v>
          </cell>
          <cell r="AQ39" t="e">
            <v>#REF!</v>
          </cell>
          <cell r="AU39" t="e">
            <v>#REF!</v>
          </cell>
          <cell r="AY39" t="e">
            <v>#REF!</v>
          </cell>
        </row>
        <row r="40">
          <cell r="E40" t="str">
            <v>R$</v>
          </cell>
          <cell r="G40" t="e">
            <v>#REF!</v>
          </cell>
          <cell r="K40" t="e">
            <v>#REF!</v>
          </cell>
          <cell r="O40" t="e">
            <v>#REF!</v>
          </cell>
          <cell r="S40" t="e">
            <v>#REF!</v>
          </cell>
          <cell r="W40" t="e">
            <v>#REF!</v>
          </cell>
          <cell r="AA40" t="e">
            <v>#REF!</v>
          </cell>
          <cell r="AE40" t="e">
            <v>#REF!</v>
          </cell>
          <cell r="AI40" t="e">
            <v>#REF!</v>
          </cell>
          <cell r="AM40" t="e">
            <v>#REF!</v>
          </cell>
          <cell r="AQ40" t="e">
            <v>#REF!</v>
          </cell>
          <cell r="AU40" t="e">
            <v>#REF!</v>
          </cell>
          <cell r="AY40" t="e">
            <v>#REF!</v>
          </cell>
        </row>
        <row r="41">
          <cell r="B41" t="str">
            <v>Acumulado</v>
          </cell>
          <cell r="E41" t="str">
            <v>%</v>
          </cell>
          <cell r="G41" t="e">
            <v>#REF!</v>
          </cell>
          <cell r="K41" t="e">
            <v>#REF!</v>
          </cell>
          <cell r="O41" t="e">
            <v>#REF!</v>
          </cell>
          <cell r="S41" t="e">
            <v>#REF!</v>
          </cell>
          <cell r="W41" t="e">
            <v>#REF!</v>
          </cell>
          <cell r="AA41" t="e">
            <v>#REF!</v>
          </cell>
          <cell r="AE41" t="e">
            <v>#REF!</v>
          </cell>
          <cell r="AI41" t="e">
            <v>#REF!</v>
          </cell>
          <cell r="AM41" t="e">
            <v>#REF!</v>
          </cell>
          <cell r="AQ41" t="e">
            <v>#REF!</v>
          </cell>
          <cell r="AU41" t="e">
            <v>#REF!</v>
          </cell>
          <cell r="AY41" t="e">
            <v>#REF!</v>
          </cell>
        </row>
        <row r="42">
          <cell r="E42" t="str">
            <v>R$</v>
          </cell>
          <cell r="G42" t="e">
            <v>#REF!</v>
          </cell>
          <cell r="K42" t="e">
            <v>#REF!</v>
          </cell>
          <cell r="O42" t="e">
            <v>#REF!</v>
          </cell>
          <cell r="S42" t="e">
            <v>#REF!</v>
          </cell>
          <cell r="W42" t="e">
            <v>#REF!</v>
          </cell>
          <cell r="AA42" t="e">
            <v>#REF!</v>
          </cell>
          <cell r="AE42" t="e">
            <v>#REF!</v>
          </cell>
          <cell r="AI42" t="e">
            <v>#REF!</v>
          </cell>
          <cell r="AM42" t="e">
            <v>#REF!</v>
          </cell>
          <cell r="AQ42" t="e">
            <v>#REF!</v>
          </cell>
          <cell r="AU42" t="e">
            <v>#REF!</v>
          </cell>
          <cell r="AY42" t="e">
            <v>#REF!</v>
          </cell>
        </row>
      </sheetData>
      <sheetData sheetId="22">
        <row r="28">
          <cell r="AX28">
            <v>1</v>
          </cell>
        </row>
        <row r="38">
          <cell r="G38" t="str">
            <v>Datas das medições</v>
          </cell>
        </row>
        <row r="40">
          <cell r="B40" t="str">
            <v>Medições</v>
          </cell>
          <cell r="G40">
            <v>1</v>
          </cell>
          <cell r="K40">
            <v>2</v>
          </cell>
          <cell r="O40">
            <v>3</v>
          </cell>
          <cell r="S40">
            <v>4</v>
          </cell>
          <cell r="W40">
            <v>5</v>
          </cell>
          <cell r="AA40">
            <v>6</v>
          </cell>
          <cell r="AE40">
            <v>7</v>
          </cell>
          <cell r="AI40">
            <v>8</v>
          </cell>
          <cell r="AM40">
            <v>9</v>
          </cell>
          <cell r="AQ40">
            <v>10</v>
          </cell>
          <cell r="AU40">
            <v>11</v>
          </cell>
          <cell r="AY40">
            <v>12</v>
          </cell>
        </row>
        <row r="41">
          <cell r="B41" t="str">
            <v>Período</v>
          </cell>
          <cell r="E41" t="str">
            <v>%</v>
          </cell>
          <cell r="G41" t="e">
            <v>#REF!</v>
          </cell>
          <cell r="K41" t="e">
            <v>#REF!</v>
          </cell>
          <cell r="O41" t="e">
            <v>#REF!</v>
          </cell>
          <cell r="S41" t="e">
            <v>#REF!</v>
          </cell>
          <cell r="W41" t="e">
            <v>#REF!</v>
          </cell>
          <cell r="AA41" t="e">
            <v>#REF!</v>
          </cell>
          <cell r="AE41" t="e">
            <v>#REF!</v>
          </cell>
          <cell r="AI41" t="e">
            <v>#REF!</v>
          </cell>
          <cell r="AM41" t="e">
            <v>#REF!</v>
          </cell>
          <cell r="AQ41" t="e">
            <v>#REF!</v>
          </cell>
          <cell r="AU41" t="e">
            <v>#REF!</v>
          </cell>
          <cell r="AY41" t="e">
            <v>#REF!</v>
          </cell>
        </row>
        <row r="42">
          <cell r="E42" t="str">
            <v>R$</v>
          </cell>
          <cell r="G42" t="e">
            <v>#REF!</v>
          </cell>
          <cell r="K42" t="e">
            <v>#REF!</v>
          </cell>
          <cell r="O42" t="e">
            <v>#REF!</v>
          </cell>
          <cell r="S42" t="e">
            <v>#REF!</v>
          </cell>
          <cell r="W42" t="e">
            <v>#REF!</v>
          </cell>
          <cell r="AA42" t="e">
            <v>#REF!</v>
          </cell>
          <cell r="AE42" t="e">
            <v>#REF!</v>
          </cell>
          <cell r="AI42" t="e">
            <v>#REF!</v>
          </cell>
          <cell r="AM42" t="e">
            <v>#REF!</v>
          </cell>
          <cell r="AQ42" t="e">
            <v>#REF!</v>
          </cell>
          <cell r="AU42" t="e">
            <v>#REF!</v>
          </cell>
          <cell r="AY42" t="e">
            <v>#REF!</v>
          </cell>
        </row>
        <row r="43">
          <cell r="B43" t="str">
            <v>Acumulado</v>
          </cell>
          <cell r="E43" t="str">
            <v>%</v>
          </cell>
          <cell r="G43" t="e">
            <v>#REF!</v>
          </cell>
          <cell r="K43" t="e">
            <v>#REF!</v>
          </cell>
          <cell r="O43" t="e">
            <v>#REF!</v>
          </cell>
          <cell r="S43" t="e">
            <v>#REF!</v>
          </cell>
          <cell r="W43" t="e">
            <v>#REF!</v>
          </cell>
          <cell r="AA43" t="e">
            <v>#REF!</v>
          </cell>
          <cell r="AE43" t="e">
            <v>#REF!</v>
          </cell>
          <cell r="AI43" t="e">
            <v>#REF!</v>
          </cell>
          <cell r="AM43" t="e">
            <v>#REF!</v>
          </cell>
          <cell r="AQ43" t="e">
            <v>#REF!</v>
          </cell>
          <cell r="AU43" t="e">
            <v>#REF!</v>
          </cell>
          <cell r="AY43" t="e">
            <v>#REF!</v>
          </cell>
        </row>
        <row r="44">
          <cell r="E44" t="str">
            <v>R$</v>
          </cell>
          <cell r="G44" t="e">
            <v>#REF!</v>
          </cell>
          <cell r="K44" t="e">
            <v>#REF!</v>
          </cell>
          <cell r="O44" t="e">
            <v>#REF!</v>
          </cell>
          <cell r="S44" t="e">
            <v>#REF!</v>
          </cell>
          <cell r="W44" t="e">
            <v>#REF!</v>
          </cell>
          <cell r="AA44" t="e">
            <v>#REF!</v>
          </cell>
          <cell r="AE44" t="e">
            <v>#REF!</v>
          </cell>
          <cell r="AI44" t="e">
            <v>#REF!</v>
          </cell>
          <cell r="AM44" t="e">
            <v>#REF!</v>
          </cell>
          <cell r="AQ44" t="e">
            <v>#REF!</v>
          </cell>
          <cell r="AU44" t="e">
            <v>#REF!</v>
          </cell>
          <cell r="AY44" t="e">
            <v>#REF!</v>
          </cell>
        </row>
      </sheetData>
      <sheetData sheetId="23"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</sheetData>
      <sheetData sheetId="24"/>
      <sheetData sheetId="25"/>
      <sheetData sheetId="26"/>
      <sheetData sheetId="27"/>
      <sheetData sheetId="28"/>
      <sheetData sheetId="29"/>
      <sheetData sheetId="30">
        <row r="13">
          <cell r="B13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de quantitativos"/>
      <sheetName val="INSUMOS"/>
      <sheetName val="CPU"/>
      <sheetName val="ORÇAMENTO obra"/>
      <sheetName val="Cronograma Fisico"/>
      <sheetName val="Cronograma Financeiro"/>
      <sheetName val="refor out_ 2001 _ bdi_20_ aju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ória"/>
      <sheetName val="MAPA DE COTAÇÃO"/>
      <sheetName val="MAPA DE COTAÇÃO (2)"/>
      <sheetName val="COMPOSIÇÕES"/>
      <sheetName val="Itens Sem Cotação"/>
      <sheetName val="Planilha4 (2)"/>
      <sheetName val="Planilha4 (3)"/>
      <sheetName val="MOB - OBRA ND"/>
      <sheetName val="MOB - OBRA D"/>
      <sheetName val="MOB - CONTAINER ND"/>
      <sheetName val="MOB - CONTAINER D"/>
      <sheetName val="Planilha - LT 1"/>
      <sheetName val="Composição 007"/>
      <sheetName val="Composição 008"/>
      <sheetName val="projeto"/>
      <sheetName val="INSUMOS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CPU 01</v>
          </cell>
          <cell r="B3" t="str">
            <v>CPU 01</v>
          </cell>
          <cell r="C3" t="str">
            <v>MÓDULO CEGO COM FURO 11MM - 1 MÓDULO</v>
          </cell>
          <cell r="D3" t="str">
            <v>UND</v>
          </cell>
          <cell r="F3" t="str">
            <v>NÃO</v>
          </cell>
        </row>
        <row r="4">
          <cell r="A4" t="str">
            <v>MÃO DE OBRA</v>
          </cell>
          <cell r="B4" t="str">
            <v>MÃO DE OBRA</v>
          </cell>
        </row>
        <row r="5">
          <cell r="A5">
            <v>88247</v>
          </cell>
          <cell r="B5">
            <v>88247</v>
          </cell>
          <cell r="C5" t="str">
            <v>AUXILIAR DE ELETRICISTA COM ENCARGOS COMPLEMENTARES</v>
          </cell>
          <cell r="D5" t="str">
            <v>H</v>
          </cell>
          <cell r="E5">
            <v>3.5999999999999997E-2</v>
          </cell>
        </row>
        <row r="6">
          <cell r="A6">
            <v>0</v>
          </cell>
        </row>
        <row r="7">
          <cell r="A7">
            <v>0</v>
          </cell>
        </row>
        <row r="8">
          <cell r="A8" t="str">
            <v>INSUMOS</v>
          </cell>
          <cell r="B8" t="str">
            <v>INSUMOS</v>
          </cell>
        </row>
        <row r="9">
          <cell r="A9" t="str">
            <v>COT</v>
          </cell>
          <cell r="B9" t="str">
            <v>COT</v>
          </cell>
          <cell r="C9" t="str">
            <v>MÓDULO CEGO COM FURO 11MM - 1 MÓDULO</v>
          </cell>
          <cell r="D9" t="str">
            <v>UND</v>
          </cell>
          <cell r="E9">
            <v>1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 t="str">
            <v>REFERÊNCIA:</v>
          </cell>
          <cell r="B12" t="str">
            <v>REFERÊNCIA:</v>
          </cell>
          <cell r="C12" t="str">
            <v>ED-5633 - SETOP</v>
          </cell>
        </row>
        <row r="13">
          <cell r="A13" t="str">
            <v>CPU 02</v>
          </cell>
          <cell r="B13" t="str">
            <v>CPU 02</v>
          </cell>
          <cell r="C13" t="str">
            <v>RJ45 - 2 MÓDULOS</v>
          </cell>
          <cell r="D13" t="str">
            <v>UND</v>
          </cell>
          <cell r="F13" t="str">
            <v>OK</v>
          </cell>
        </row>
        <row r="14">
          <cell r="A14" t="str">
            <v>MÃO DE OBRA</v>
          </cell>
          <cell r="B14" t="str">
            <v>MÃO DE OBRA</v>
          </cell>
        </row>
        <row r="15">
          <cell r="A15" t="str">
            <v>COT</v>
          </cell>
          <cell r="B15" t="str">
            <v>COT</v>
          </cell>
          <cell r="C15" t="str">
            <v>SUPORTE PARA PLACA 4"X2" PARA TRÊS (3) MÓDULOS, INCLUSIVE PARAFUSOS PARA FIXAÇÃO, FORNECIMENTO E INSTALAÇÃO, EXCLUSIVE PLACA E MÓDULO</v>
          </cell>
          <cell r="D15" t="str">
            <v>UND</v>
          </cell>
          <cell r="E15">
            <v>1</v>
          </cell>
        </row>
        <row r="16">
          <cell r="A16" t="str">
            <v>COT</v>
          </cell>
          <cell r="B16" t="str">
            <v>COT</v>
          </cell>
          <cell r="C16" t="str">
            <v>PLACA 4"X2" PARA DOIS (2) MÓDULOS, INCLUSIVE FORNECIMENTO E INSTALAÇÃO, EXCLUSIVE SUPORTE E MÓDULO</v>
          </cell>
          <cell r="D16" t="str">
            <v>UND</v>
          </cell>
          <cell r="E16">
            <v>1</v>
          </cell>
        </row>
        <row r="17">
          <cell r="A17" t="str">
            <v>COT</v>
          </cell>
          <cell r="B17" t="str">
            <v>COT</v>
          </cell>
          <cell r="C17" t="str">
            <v>RJ45 - 2 MÓDULOS</v>
          </cell>
          <cell r="D17" t="str">
            <v>UND</v>
          </cell>
          <cell r="E17">
            <v>2</v>
          </cell>
        </row>
        <row r="18">
          <cell r="A18" t="str">
            <v>INSUMOS</v>
          </cell>
          <cell r="B18" t="str">
            <v>INSUMOS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 t="str">
            <v>REFERÊNCIA:</v>
          </cell>
          <cell r="B22" t="str">
            <v>REFERÊNCIA:</v>
          </cell>
          <cell r="C22" t="str">
            <v>ED-15762 - SETOP</v>
          </cell>
        </row>
        <row r="23">
          <cell r="A23" t="str">
            <v>CPU 03</v>
          </cell>
          <cell r="B23" t="str">
            <v>CPU 03</v>
          </cell>
          <cell r="C23" t="str">
            <v>ABRAÇADEIRA PARA ATERRAMENTO DE MASTRO 2", COM 1 DESCIDA TEL 805 OU EQUIVALENTE TÉCNICO</v>
          </cell>
          <cell r="D23" t="str">
            <v>UND</v>
          </cell>
          <cell r="F23" t="str">
            <v>OK</v>
          </cell>
        </row>
        <row r="24">
          <cell r="A24" t="str">
            <v>MÃO DE OBRA</v>
          </cell>
          <cell r="B24" t="str">
            <v>MÃO DE OBRA</v>
          </cell>
        </row>
        <row r="25">
          <cell r="A25">
            <v>88247</v>
          </cell>
          <cell r="B25">
            <v>88247</v>
          </cell>
          <cell r="C25" t="str">
            <v>AUXILIAR DE ELETRICISTA COM ENCARGOS COMPLEMENTARES</v>
          </cell>
          <cell r="D25" t="str">
            <v>H</v>
          </cell>
          <cell r="E25">
            <v>0.36699999999999999</v>
          </cell>
        </row>
        <row r="26">
          <cell r="A26">
            <v>88264</v>
          </cell>
          <cell r="B26">
            <v>88264</v>
          </cell>
          <cell r="C26" t="str">
            <v>ELETRICISTA COM ENCARGOS COMPLEMENTARES</v>
          </cell>
          <cell r="D26" t="str">
            <v>H</v>
          </cell>
          <cell r="E26">
            <v>0.36699999999999999</v>
          </cell>
        </row>
        <row r="27">
          <cell r="A27">
            <v>0</v>
          </cell>
        </row>
        <row r="28">
          <cell r="A28" t="str">
            <v>INSUMOS</v>
          </cell>
          <cell r="B28" t="str">
            <v>INSUMOS</v>
          </cell>
        </row>
        <row r="29">
          <cell r="A29" t="str">
            <v>COT</v>
          </cell>
          <cell r="B29" t="str">
            <v>COT</v>
          </cell>
          <cell r="C29" t="str">
            <v>ABRAÇADEIRA PARA ATERRAMENTO DE MASTRO 2", COM 1 DESCIDA TEL 805 OU EQUIVALENTE TÉCNICO</v>
          </cell>
          <cell r="D29" t="str">
            <v>UND</v>
          </cell>
          <cell r="E29">
            <v>1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 t="str">
            <v>REFERÊNCIA:</v>
          </cell>
          <cell r="B32" t="str">
            <v>REFERÊNCIA:</v>
          </cell>
          <cell r="C32" t="str">
            <v>101663 SINAPI</v>
          </cell>
        </row>
        <row r="33">
          <cell r="A33" t="str">
            <v>CPU 04</v>
          </cell>
          <cell r="B33" t="str">
            <v>CPU 04</v>
          </cell>
          <cell r="C33" t="str">
            <v>ABRIGO PARA EXTINTOR PORTÁTIL</v>
          </cell>
          <cell r="D33" t="str">
            <v>UND</v>
          </cell>
          <cell r="F33" t="str">
            <v>OK</v>
          </cell>
        </row>
        <row r="34">
          <cell r="A34" t="str">
            <v>MÃO DE OBRA</v>
          </cell>
          <cell r="B34" t="str">
            <v>MÃO DE OBRA</v>
          </cell>
        </row>
        <row r="35">
          <cell r="A35">
            <v>88316</v>
          </cell>
          <cell r="B35">
            <v>88316</v>
          </cell>
          <cell r="C35" t="str">
            <v>SERVENTE COM ENCARGOS COMPLEMENTARES</v>
          </cell>
          <cell r="D35" t="str">
            <v>H</v>
          </cell>
          <cell r="E35">
            <v>0.5</v>
          </cell>
        </row>
        <row r="36">
          <cell r="A36">
            <v>101445</v>
          </cell>
          <cell r="B36">
            <v>101445</v>
          </cell>
          <cell r="C36" t="str">
            <v>PEDREIRO COM ENCARGOS</v>
          </cell>
          <cell r="D36" t="str">
            <v>H</v>
          </cell>
          <cell r="E36">
            <v>0.5</v>
          </cell>
        </row>
        <row r="37">
          <cell r="A37">
            <v>0</v>
          </cell>
        </row>
        <row r="38">
          <cell r="A38" t="str">
            <v>INSUMOS</v>
          </cell>
          <cell r="B38" t="str">
            <v>INSUMOS</v>
          </cell>
        </row>
        <row r="39">
          <cell r="A39" t="str">
            <v>COT</v>
          </cell>
          <cell r="B39" t="str">
            <v>COT</v>
          </cell>
          <cell r="C39" t="str">
            <v>ARRUELA LISA DE ACO GALVANIZADO, DE 5/16</v>
          </cell>
          <cell r="D39" t="str">
            <v>UND</v>
          </cell>
          <cell r="E39">
            <v>2</v>
          </cell>
        </row>
        <row r="40">
          <cell r="A40">
            <v>13246</v>
          </cell>
          <cell r="B40">
            <v>13246</v>
          </cell>
          <cell r="C40" t="str">
            <v>PARAFUSO DE ACO CARBONO, CABECA SEXTAVAD A, MEDINDO (5/16)</v>
          </cell>
          <cell r="D40" t="str">
            <v>UND</v>
          </cell>
          <cell r="E40">
            <v>2</v>
          </cell>
        </row>
        <row r="41">
          <cell r="A41">
            <v>7584</v>
          </cell>
          <cell r="B41">
            <v>7584</v>
          </cell>
          <cell r="C41" t="str">
            <v>BUCHA DE NYLON, TIPO S-12</v>
          </cell>
          <cell r="D41" t="str">
            <v>UND</v>
          </cell>
          <cell r="E41">
            <v>0.18</v>
          </cell>
        </row>
        <row r="42">
          <cell r="A42" t="str">
            <v>COT</v>
          </cell>
          <cell r="B42" t="str">
            <v>COT</v>
          </cell>
          <cell r="C42" t="str">
            <v>ABRIGO PARA EXTINTOR PORTÁTIL</v>
          </cell>
          <cell r="D42" t="str">
            <v>UND</v>
          </cell>
          <cell r="E42">
            <v>1</v>
          </cell>
        </row>
        <row r="43">
          <cell r="A43" t="str">
            <v>REFERÊNCIA:</v>
          </cell>
          <cell r="B43" t="str">
            <v>REFERÊNCIA:</v>
          </cell>
          <cell r="C43" t="str">
            <v>18.032.0042-0 EMOP</v>
          </cell>
        </row>
        <row r="44">
          <cell r="A44" t="str">
            <v>CPU 05</v>
          </cell>
          <cell r="B44" t="str">
            <v>CPU 05</v>
          </cell>
          <cell r="C44" t="str">
            <v>ACESSÓRIOS PARA ELETROCALHA SAÍDA DUPLA PARA ELETRODUTO</v>
          </cell>
          <cell r="D44" t="str">
            <v>UND</v>
          </cell>
          <cell r="F44" t="str">
            <v>OK</v>
          </cell>
        </row>
        <row r="45">
          <cell r="A45" t="str">
            <v>MÃO DE OBRA</v>
          </cell>
          <cell r="B45" t="str">
            <v>MÃO DE OBRA</v>
          </cell>
        </row>
        <row r="46">
          <cell r="A46">
            <v>88247</v>
          </cell>
          <cell r="B46">
            <v>88247</v>
          </cell>
          <cell r="C46" t="str">
            <v>AUXILIAR DE ELETRICISTA COM ENCARGOS COMPLEMENTARES</v>
          </cell>
          <cell r="D46" t="str">
            <v>H</v>
          </cell>
          <cell r="E46">
            <v>0.14699999999999999</v>
          </cell>
        </row>
        <row r="47">
          <cell r="A47">
            <v>88264</v>
          </cell>
          <cell r="B47">
            <v>88264</v>
          </cell>
          <cell r="C47" t="str">
            <v>ELETRICISTA COM ENCARGOS COMPLEMENTARES</v>
          </cell>
          <cell r="D47" t="str">
            <v>H</v>
          </cell>
          <cell r="E47">
            <v>0.14699999999999999</v>
          </cell>
        </row>
        <row r="48">
          <cell r="A48">
            <v>0</v>
          </cell>
        </row>
        <row r="49">
          <cell r="A49" t="str">
            <v>INSUMOS</v>
          </cell>
          <cell r="B49" t="str">
            <v>INSUMOS</v>
          </cell>
        </row>
        <row r="50">
          <cell r="A50" t="str">
            <v>COT</v>
          </cell>
          <cell r="B50" t="str">
            <v>COT</v>
          </cell>
          <cell r="C50" t="str">
            <v>ELETROCALHA SAÍDA DUPLA PARA ELETRODUTO</v>
          </cell>
          <cell r="D50" t="str">
            <v>UND</v>
          </cell>
          <cell r="E50">
            <v>1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 t="str">
            <v>REFERÊNCIA:</v>
          </cell>
          <cell r="B53" t="str">
            <v>REFERÊNCIA:</v>
          </cell>
          <cell r="C53" t="str">
            <v>063754 SBC</v>
          </cell>
        </row>
        <row r="54">
          <cell r="A54" t="str">
            <v>CPU 06</v>
          </cell>
          <cell r="B54" t="str">
            <v>CPU 06</v>
          </cell>
          <cell r="C54" t="str">
            <v>ACIONADOR MANUAL DO SISTEMA DE DETECÇÃO E ALARME, ENDEREÇÁVEL TIPO QUEBRE O VIDRO, COM CERTIFICAÇÃO UL E FM; PLACA INDICATIVA DE ACIONADOR MANUAL DO SISTEMA DE ALARME (15CM X 15CM);</v>
          </cell>
          <cell r="D54" t="str">
            <v>UND</v>
          </cell>
          <cell r="F54" t="str">
            <v>OK</v>
          </cell>
        </row>
        <row r="55">
          <cell r="A55" t="str">
            <v>MÃO DE OBRA</v>
          </cell>
          <cell r="B55" t="str">
            <v>MÃO DE OBRA</v>
          </cell>
        </row>
        <row r="56">
          <cell r="A56">
            <v>88264</v>
          </cell>
          <cell r="B56">
            <v>88264</v>
          </cell>
          <cell r="C56" t="str">
            <v>ELETRICISTA COM ENCARGOS COMPLEMENTARES</v>
          </cell>
          <cell r="D56" t="str">
            <v>H</v>
          </cell>
          <cell r="E56">
            <v>0.5</v>
          </cell>
        </row>
        <row r="57">
          <cell r="A57">
            <v>88316</v>
          </cell>
          <cell r="B57">
            <v>88316</v>
          </cell>
          <cell r="C57" t="str">
            <v>SERVENTE COM ENCARGOS COMPLEMENTARES</v>
          </cell>
          <cell r="D57" t="str">
            <v>H</v>
          </cell>
          <cell r="E57">
            <v>5</v>
          </cell>
        </row>
        <row r="58">
          <cell r="A58">
            <v>0</v>
          </cell>
        </row>
        <row r="59">
          <cell r="A59" t="str">
            <v>INSUMOS</v>
          </cell>
          <cell r="B59" t="str">
            <v>INSUMOS</v>
          </cell>
        </row>
        <row r="60">
          <cell r="A60">
            <v>0</v>
          </cell>
          <cell r="C60" t="str">
            <v>Acionador manual (botoeira) tipo quebra-vidro, p/incendio</v>
          </cell>
          <cell r="D60" t="str">
            <v>UND</v>
          </cell>
          <cell r="E60">
            <v>1</v>
          </cell>
        </row>
        <row r="61">
          <cell r="A61">
            <v>37557</v>
          </cell>
          <cell r="B61">
            <v>37557</v>
          </cell>
          <cell r="C61" t="str">
            <v>PLACA DE SINALIZACAO DE SEGURANCA CONTRA INCENDIO, FOTOLUMINESCENTE, QUADRADA, *14 X 14* CM, EM PVC *2* MM ANTI-CHAMAS (SIMBOLOS, CORES E PICTOGRAMAS CONFORME NBR 16820)</v>
          </cell>
          <cell r="D61" t="str">
            <v>UND</v>
          </cell>
          <cell r="E61">
            <v>1</v>
          </cell>
        </row>
        <row r="62">
          <cell r="A62" t="str">
            <v>COT</v>
          </cell>
          <cell r="B62" t="str">
            <v>COT</v>
          </cell>
          <cell r="C62" t="str">
            <v>ACIONADOR MANUAL DO SISTEMA DE DETECÇÃO E ALARME, ENDEREÇÁVEL TIPO QUEBRE O VIDRO, COM CERTIFICAÇÃO UL E FM</v>
          </cell>
          <cell r="D62" t="str">
            <v>UND</v>
          </cell>
          <cell r="E62">
            <v>1</v>
          </cell>
        </row>
        <row r="63">
          <cell r="A63" t="str">
            <v>REFERÊNCIA:</v>
          </cell>
          <cell r="B63" t="str">
            <v>REFERÊNCIA:</v>
          </cell>
          <cell r="C63" t="str">
            <v>7861 ORSE + 00037557 SINAPI</v>
          </cell>
        </row>
        <row r="64">
          <cell r="A64" t="str">
            <v>CPU 07</v>
          </cell>
          <cell r="B64" t="str">
            <v>CPU 07</v>
          </cell>
          <cell r="C64" t="str">
            <v>AQUISIÇÃO E INSTALAÇÃO DE BOMBA A DIESEL RESERVA COM POTÊNCIA HIDRÁULICA DE 3,0 CV, 240 L/MIN</v>
          </cell>
          <cell r="D64" t="str">
            <v>UND</v>
          </cell>
          <cell r="F64" t="str">
            <v>OK</v>
          </cell>
        </row>
        <row r="65">
          <cell r="A65" t="str">
            <v>MÃO DE OBRA</v>
          </cell>
          <cell r="B65" t="str">
            <v>MÃO DE OBRA</v>
          </cell>
        </row>
        <row r="66">
          <cell r="A66">
            <v>88264</v>
          </cell>
          <cell r="B66">
            <v>88264</v>
          </cell>
          <cell r="C66" t="str">
            <v>ELETRICISTA COM ENCARGOS COMPLEMENTARES</v>
          </cell>
          <cell r="D66" t="str">
            <v>H</v>
          </cell>
          <cell r="E66">
            <v>2</v>
          </cell>
        </row>
        <row r="67">
          <cell r="A67">
            <v>88267</v>
          </cell>
          <cell r="B67">
            <v>88267</v>
          </cell>
          <cell r="C67" t="str">
            <v>ENCANADOR OU BOMBEIRO HIDRÁULICO COM ENCARGOS COMPLEMENTARES</v>
          </cell>
          <cell r="D67" t="str">
            <v>H</v>
          </cell>
          <cell r="E67">
            <v>2</v>
          </cell>
        </row>
        <row r="68">
          <cell r="A68">
            <v>88316</v>
          </cell>
          <cell r="B68">
            <v>88316</v>
          </cell>
          <cell r="C68" t="str">
            <v>SERVENTE COM ENCARGOS COMPLEMENTARES</v>
          </cell>
          <cell r="D68" t="str">
            <v>H</v>
          </cell>
          <cell r="E68">
            <v>4</v>
          </cell>
        </row>
        <row r="69">
          <cell r="A69" t="str">
            <v>INSUMOS</v>
          </cell>
          <cell r="B69" t="str">
            <v>INSUMOS</v>
          </cell>
        </row>
        <row r="70">
          <cell r="A70" t="str">
            <v>COT</v>
          </cell>
          <cell r="B70" t="str">
            <v>COT</v>
          </cell>
          <cell r="C70" t="str">
            <v>BOMBA A DIESEL RESERVA COM POTÊNCIA HIDRÁULICA DE 3,0 CV, 240 L/MIN</v>
          </cell>
          <cell r="D70" t="str">
            <v>UND</v>
          </cell>
          <cell r="E70">
            <v>1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 t="str">
            <v>REFERÊNCIA:</v>
          </cell>
          <cell r="B73" t="str">
            <v>REFERÊNCIA:</v>
          </cell>
          <cell r="C73" t="str">
            <v>12299 ORSE</v>
          </cell>
        </row>
        <row r="74">
          <cell r="A74" t="str">
            <v>CPU 08</v>
          </cell>
          <cell r="B74" t="str">
            <v>CPU 08</v>
          </cell>
          <cell r="C74" t="str">
            <v>AQUISIÇÃO E INSTALAÇÃO DE BOMBA A DIESEL RESERVA COM POTÊNCIA HIDRÁULICA DE 13,1 CV, 500 L/MIN</v>
          </cell>
          <cell r="D74" t="str">
            <v>UND</v>
          </cell>
          <cell r="F74" t="str">
            <v>OK</v>
          </cell>
        </row>
        <row r="75">
          <cell r="A75" t="str">
            <v>MÃO DE OBRA</v>
          </cell>
          <cell r="B75" t="str">
            <v>MÃO DE OBRA</v>
          </cell>
        </row>
        <row r="76">
          <cell r="A76">
            <v>88264</v>
          </cell>
          <cell r="B76">
            <v>88264</v>
          </cell>
          <cell r="C76" t="str">
            <v>ELETRICISTA COM ENCARGOS COMPLEMENTARES</v>
          </cell>
          <cell r="D76" t="str">
            <v>H</v>
          </cell>
          <cell r="E76">
            <v>2</v>
          </cell>
        </row>
        <row r="77">
          <cell r="A77">
            <v>88267</v>
          </cell>
          <cell r="B77">
            <v>88267</v>
          </cell>
          <cell r="C77" t="str">
            <v>ENCANADOR OU BOMBEIRO HIDRÁULICO COM ENCARGOS COMPLEMENTARES</v>
          </cell>
          <cell r="D77" t="str">
            <v>H</v>
          </cell>
          <cell r="E77">
            <v>2</v>
          </cell>
        </row>
        <row r="78">
          <cell r="A78">
            <v>88316</v>
          </cell>
          <cell r="B78">
            <v>88316</v>
          </cell>
          <cell r="C78" t="str">
            <v>SERVENTE COM ENCARGOS COMPLEMENTARES</v>
          </cell>
          <cell r="D78" t="str">
            <v>H</v>
          </cell>
          <cell r="E78">
            <v>4</v>
          </cell>
        </row>
        <row r="79">
          <cell r="A79" t="str">
            <v>INSUMOS</v>
          </cell>
          <cell r="B79" t="str">
            <v>INSUMOS</v>
          </cell>
        </row>
        <row r="80">
          <cell r="A80" t="str">
            <v>COT</v>
          </cell>
          <cell r="B80" t="str">
            <v>COT</v>
          </cell>
          <cell r="C80" t="str">
            <v>BOMBA A DIESEL RESERVA COM POTÊNCIA HIDRÁULICA DE 13,1 CV, 500 L/MIN</v>
          </cell>
          <cell r="D80" t="str">
            <v>UND</v>
          </cell>
          <cell r="E80">
            <v>1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 t="str">
            <v>REFERÊNCIA:</v>
          </cell>
          <cell r="B83" t="str">
            <v>REFERÊNCIA:</v>
          </cell>
          <cell r="C83" t="str">
            <v>12299 ORSE</v>
          </cell>
        </row>
        <row r="84">
          <cell r="A84" t="str">
            <v>CPU 09</v>
          </cell>
          <cell r="B84" t="str">
            <v>CPU 09</v>
          </cell>
          <cell r="C84" t="str">
            <v>AQUISIÇÃO E INSTALAÇÃO DOS PAINÉIS PARA ACIONAMENTO DAS BOMBAS DE INCÊNDIO</v>
          </cell>
          <cell r="D84" t="str">
            <v>UND</v>
          </cell>
          <cell r="F84" t="str">
            <v>OK</v>
          </cell>
        </row>
        <row r="85">
          <cell r="A85" t="str">
            <v>MÃO DE OBRA</v>
          </cell>
          <cell r="B85" t="str">
            <v>MÃO DE OBRA</v>
          </cell>
        </row>
        <row r="86">
          <cell r="A86">
            <v>88316</v>
          </cell>
          <cell r="B86">
            <v>88316</v>
          </cell>
          <cell r="C86" t="str">
            <v>SERVENTE COM ENCARGOS COMPLEMENTARES</v>
          </cell>
          <cell r="D86" t="str">
            <v>H</v>
          </cell>
          <cell r="E86">
            <v>0.2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 t="str">
            <v>INSUMOS</v>
          </cell>
          <cell r="B89" t="str">
            <v>INSUMOS</v>
          </cell>
        </row>
        <row r="90">
          <cell r="A90" t="str">
            <v>cot</v>
          </cell>
          <cell r="B90" t="str">
            <v>cot</v>
          </cell>
          <cell r="C90" t="str">
            <v>Placa de sinalizacao, fotoluminescente,38x 19cm, em pvc , com logotipo "Bombas de incêndio" - Placa E3</v>
          </cell>
          <cell r="D90" t="str">
            <v>UND</v>
          </cell>
          <cell r="E90">
            <v>1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 t="str">
            <v>REFERÊNCIA:</v>
          </cell>
          <cell r="B93" t="str">
            <v>REFERÊNCIA:</v>
          </cell>
          <cell r="C93" t="str">
            <v>12892ORSE</v>
          </cell>
        </row>
        <row r="94">
          <cell r="A94" t="str">
            <v>CPU 10</v>
          </cell>
          <cell r="B94" t="str">
            <v>CPU 10</v>
          </cell>
          <cell r="C94" t="str">
            <v>ARRUELA DE ALUMÍNIO - 1.1/2"</v>
          </cell>
          <cell r="D94" t="str">
            <v>UND</v>
          </cell>
          <cell r="F94" t="str">
            <v>OK</v>
          </cell>
        </row>
        <row r="95">
          <cell r="A95" t="str">
            <v>MÃO DE OBRA</v>
          </cell>
          <cell r="B95" t="str">
            <v>MÃO DE OBRA</v>
          </cell>
        </row>
        <row r="96">
          <cell r="A96">
            <v>88264</v>
          </cell>
          <cell r="B96">
            <v>88264</v>
          </cell>
          <cell r="C96" t="str">
            <v>ELETRICISTA COM ENCARGOS COMPLEMENTARES</v>
          </cell>
          <cell r="D96" t="str">
            <v>H</v>
          </cell>
          <cell r="E96">
            <v>0.01</v>
          </cell>
        </row>
        <row r="97">
          <cell r="A97">
            <v>88316</v>
          </cell>
          <cell r="B97">
            <v>88316</v>
          </cell>
          <cell r="C97" t="str">
            <v>SERVENTE COM ENCARGOS COMPLEMENTARES</v>
          </cell>
          <cell r="D97" t="str">
            <v>H</v>
          </cell>
          <cell r="E97">
            <v>0.01</v>
          </cell>
        </row>
        <row r="98">
          <cell r="A98">
            <v>0</v>
          </cell>
        </row>
        <row r="99">
          <cell r="A99" t="str">
            <v>INSUMOS</v>
          </cell>
          <cell r="B99" t="str">
            <v>INSUMOS</v>
          </cell>
        </row>
        <row r="100">
          <cell r="A100" t="str">
            <v>COT</v>
          </cell>
          <cell r="B100" t="str">
            <v>COT</v>
          </cell>
          <cell r="C100" t="str">
            <v>ARRUELA DE ALUMÍNIO - 1.1/2"</v>
          </cell>
          <cell r="D100" t="str">
            <v>UND</v>
          </cell>
          <cell r="E100">
            <v>1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 t="str">
            <v>REFERÊNCIA:</v>
          </cell>
          <cell r="B103" t="str">
            <v>REFERÊNCIA:</v>
          </cell>
          <cell r="C103" t="str">
            <v>171306 SEDOP</v>
          </cell>
        </row>
        <row r="104">
          <cell r="A104" t="str">
            <v>CPU 11</v>
          </cell>
          <cell r="B104" t="str">
            <v>CPU 11</v>
          </cell>
          <cell r="C104" t="str">
            <v>ARRUELA LIS CIRC SAE1020 M18</v>
          </cell>
          <cell r="D104" t="str">
            <v>UND</v>
          </cell>
          <cell r="F104" t="str">
            <v>OK</v>
          </cell>
        </row>
        <row r="105">
          <cell r="A105" t="str">
            <v>MÃO DE OBRA</v>
          </cell>
          <cell r="B105" t="str">
            <v>MÃO DE OBRA</v>
          </cell>
        </row>
        <row r="106">
          <cell r="A106">
            <v>88264</v>
          </cell>
          <cell r="B106">
            <v>88264</v>
          </cell>
          <cell r="C106" t="str">
            <v>ELETRICISTA COM ENCARGOS COMPLEMENTARES</v>
          </cell>
          <cell r="D106" t="str">
            <v>H</v>
          </cell>
          <cell r="E106">
            <v>0.01</v>
          </cell>
        </row>
        <row r="107">
          <cell r="A107">
            <v>88316</v>
          </cell>
          <cell r="B107">
            <v>88316</v>
          </cell>
          <cell r="C107" t="str">
            <v>SERVENTE COM ENCARGOS COMPLEMENTARES</v>
          </cell>
          <cell r="D107" t="str">
            <v>H</v>
          </cell>
          <cell r="E107">
            <v>0.01</v>
          </cell>
        </row>
        <row r="108">
          <cell r="A108">
            <v>0</v>
          </cell>
        </row>
        <row r="109">
          <cell r="A109" t="str">
            <v>INSUMOS</v>
          </cell>
          <cell r="B109" t="str">
            <v>INSUMOS</v>
          </cell>
        </row>
        <row r="110">
          <cell r="A110" t="str">
            <v>COT</v>
          </cell>
          <cell r="B110" t="str">
            <v>COT</v>
          </cell>
          <cell r="C110" t="str">
            <v>ARRUELA LIS CIRC SAE1020 M18</v>
          </cell>
          <cell r="D110" t="str">
            <v>UND</v>
          </cell>
          <cell r="E110">
            <v>1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 t="str">
            <v>REFERÊNCIA:</v>
          </cell>
          <cell r="B113" t="str">
            <v>REFERÊNCIA:</v>
          </cell>
          <cell r="C113" t="str">
            <v>12506 ORSE</v>
          </cell>
        </row>
        <row r="114">
          <cell r="A114" t="str">
            <v>CPU 12</v>
          </cell>
          <cell r="B114" t="str">
            <v>CPU 12</v>
          </cell>
          <cell r="C114" t="str">
            <v>ARRUELA LIS QUAD SAE1020 M18</v>
          </cell>
          <cell r="D114" t="str">
            <v>UND</v>
          </cell>
          <cell r="F114" t="str">
            <v>OK</v>
          </cell>
        </row>
        <row r="115">
          <cell r="A115" t="str">
            <v>MÃO DE OBRA</v>
          </cell>
          <cell r="B115" t="str">
            <v>MÃO DE OBRA</v>
          </cell>
        </row>
        <row r="116">
          <cell r="A116">
            <v>88264</v>
          </cell>
          <cell r="B116">
            <v>88264</v>
          </cell>
          <cell r="C116" t="str">
            <v>ELETRICISTA COM ENCARGOS COMPLEMENTARES</v>
          </cell>
          <cell r="D116" t="str">
            <v>H</v>
          </cell>
          <cell r="E116">
            <v>0.01</v>
          </cell>
        </row>
        <row r="117">
          <cell r="A117">
            <v>88316</v>
          </cell>
          <cell r="B117">
            <v>88316</v>
          </cell>
          <cell r="C117" t="str">
            <v>SERVENTE COM ENCARGOS COMPLEMENTARES</v>
          </cell>
          <cell r="D117" t="str">
            <v>H</v>
          </cell>
          <cell r="E117">
            <v>0.01</v>
          </cell>
        </row>
        <row r="118">
          <cell r="A118">
            <v>0</v>
          </cell>
        </row>
        <row r="119">
          <cell r="A119" t="str">
            <v>INSUMOS</v>
          </cell>
          <cell r="B119" t="str">
            <v>INSUMOS</v>
          </cell>
        </row>
        <row r="120">
          <cell r="A120" t="str">
            <v>COT</v>
          </cell>
          <cell r="B120" t="str">
            <v>COT</v>
          </cell>
          <cell r="C120" t="str">
            <v>ARRUELA LIS QUAD SAE1020 M18</v>
          </cell>
          <cell r="D120" t="str">
            <v>UND</v>
          </cell>
          <cell r="E120">
            <v>1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 t="str">
            <v>REFERÊNCIA:</v>
          </cell>
          <cell r="B123" t="str">
            <v>REFERÊNCIA:</v>
          </cell>
          <cell r="C123" t="str">
            <v>12506 ORSE</v>
          </cell>
        </row>
        <row r="124">
          <cell r="A124" t="str">
            <v>CPU 13</v>
          </cell>
          <cell r="B124" t="str">
            <v>CPU 13</v>
          </cell>
          <cell r="C124" t="str">
            <v>ARRUELA LISA GALVAN. - 14MM</v>
          </cell>
          <cell r="D124" t="str">
            <v>UND</v>
          </cell>
          <cell r="F124" t="str">
            <v>OK</v>
          </cell>
        </row>
        <row r="125">
          <cell r="A125" t="str">
            <v>MÃO DE OBRA</v>
          </cell>
          <cell r="B125" t="str">
            <v>MÃO DE OBRA</v>
          </cell>
        </row>
        <row r="126">
          <cell r="A126">
            <v>88264</v>
          </cell>
          <cell r="B126">
            <v>88264</v>
          </cell>
          <cell r="C126" t="str">
            <v>ELETRICISTA COM ENCARGOS COMPLEMENTARES</v>
          </cell>
          <cell r="D126" t="str">
            <v>H</v>
          </cell>
          <cell r="E126">
            <v>0.01</v>
          </cell>
        </row>
        <row r="127">
          <cell r="A127">
            <v>88316</v>
          </cell>
          <cell r="B127">
            <v>88316</v>
          </cell>
          <cell r="C127" t="str">
            <v>SERVENTE COM ENCARGOS COMPLEMENTARES</v>
          </cell>
          <cell r="D127" t="str">
            <v>H</v>
          </cell>
          <cell r="E127">
            <v>0.01</v>
          </cell>
        </row>
        <row r="128">
          <cell r="A128">
            <v>0</v>
          </cell>
        </row>
        <row r="129">
          <cell r="A129" t="str">
            <v>INSUMOS</v>
          </cell>
          <cell r="B129" t="str">
            <v>INSUMOS</v>
          </cell>
        </row>
        <row r="130">
          <cell r="A130" t="str">
            <v>COT</v>
          </cell>
          <cell r="B130" t="str">
            <v>COT</v>
          </cell>
          <cell r="C130" t="str">
            <v>ARRUELA LISA GALVAN. - 14MM</v>
          </cell>
          <cell r="D130" t="str">
            <v>UND</v>
          </cell>
          <cell r="E130">
            <v>1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 t="str">
            <v>REFERÊNCIA:</v>
          </cell>
          <cell r="B133" t="str">
            <v>REFERÊNCIA:</v>
          </cell>
          <cell r="C133" t="str">
            <v>9816 ORSE</v>
          </cell>
        </row>
        <row r="134">
          <cell r="A134" t="str">
            <v>CPU 14</v>
          </cell>
          <cell r="B134" t="str">
            <v>CPU 14</v>
          </cell>
          <cell r="C134" t="str">
            <v>ARRUELA PARA FIXAÇÃO DE ELETRODUTO</v>
          </cell>
          <cell r="D134" t="str">
            <v>UND</v>
          </cell>
          <cell r="F134" t="str">
            <v>OK</v>
          </cell>
        </row>
        <row r="135">
          <cell r="A135" t="str">
            <v>MÃO DE OBRA</v>
          </cell>
          <cell r="B135" t="str">
            <v>MÃO DE OBRA</v>
          </cell>
        </row>
        <row r="136">
          <cell r="A136">
            <v>88264</v>
          </cell>
          <cell r="B136">
            <v>88264</v>
          </cell>
          <cell r="C136" t="str">
            <v>ELETRICISTA COM ENCARGOS COMPLEMENTARES</v>
          </cell>
          <cell r="D136" t="str">
            <v>H</v>
          </cell>
          <cell r="E136">
            <v>0.01</v>
          </cell>
        </row>
        <row r="137">
          <cell r="A137">
            <v>88316</v>
          </cell>
          <cell r="B137">
            <v>88316</v>
          </cell>
          <cell r="C137" t="str">
            <v>SERVENTE COM ENCARGOS COMPLEMENTARES</v>
          </cell>
          <cell r="D137" t="str">
            <v>H</v>
          </cell>
          <cell r="E137">
            <v>0.01</v>
          </cell>
        </row>
        <row r="138">
          <cell r="A138">
            <v>0</v>
          </cell>
        </row>
        <row r="139">
          <cell r="A139" t="str">
            <v>INSUMOS</v>
          </cell>
          <cell r="B139" t="str">
            <v>INSUMOS</v>
          </cell>
        </row>
        <row r="140">
          <cell r="A140" t="str">
            <v>COT</v>
          </cell>
          <cell r="B140" t="str">
            <v>COT</v>
          </cell>
          <cell r="C140" t="str">
            <v>ARRUELA PARA FIXAÇÃO DE ELETRODUTO</v>
          </cell>
          <cell r="D140" t="str">
            <v>UND</v>
          </cell>
          <cell r="E140">
            <v>1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 t="str">
            <v>REFERÊNCIA:</v>
          </cell>
          <cell r="B143" t="str">
            <v>REFERÊNCIA:</v>
          </cell>
          <cell r="C143" t="str">
            <v>12506 ORSE</v>
          </cell>
        </row>
        <row r="144">
          <cell r="A144" t="str">
            <v>CPU 15</v>
          </cell>
          <cell r="B144" t="str">
            <v>CPU 15</v>
          </cell>
          <cell r="C144" t="str">
            <v>ARRUELA PRESSAO GALV - 1/4"</v>
          </cell>
          <cell r="D144" t="str">
            <v>UND</v>
          </cell>
          <cell r="F144" t="str">
            <v>OOK</v>
          </cell>
        </row>
        <row r="145">
          <cell r="A145" t="str">
            <v>MÃO DE OBRA</v>
          </cell>
          <cell r="B145" t="str">
            <v>MÃO DE OBRA</v>
          </cell>
        </row>
        <row r="146">
          <cell r="A146">
            <v>88264</v>
          </cell>
          <cell r="B146">
            <v>88264</v>
          </cell>
          <cell r="C146" t="str">
            <v>ELETRICISTA COM ENCARGOS COMPLEMENTARES</v>
          </cell>
          <cell r="D146" t="str">
            <v>H</v>
          </cell>
          <cell r="E146">
            <v>0.01</v>
          </cell>
        </row>
        <row r="147">
          <cell r="A147">
            <v>88316</v>
          </cell>
          <cell r="B147">
            <v>88316</v>
          </cell>
          <cell r="C147" t="str">
            <v>SERVENTE COM ENCARGOS COMPLEMENTARES</v>
          </cell>
          <cell r="D147" t="str">
            <v>H</v>
          </cell>
          <cell r="E147">
            <v>0.01</v>
          </cell>
        </row>
        <row r="148">
          <cell r="A148">
            <v>0</v>
          </cell>
        </row>
        <row r="149">
          <cell r="A149" t="str">
            <v>INSUMOS</v>
          </cell>
          <cell r="B149" t="str">
            <v>INSUMOS</v>
          </cell>
        </row>
        <row r="150">
          <cell r="A150" t="str">
            <v>COT</v>
          </cell>
          <cell r="B150" t="str">
            <v>COT</v>
          </cell>
          <cell r="C150" t="str">
            <v>ARRUELA PRESSAO GALV - 1/4"</v>
          </cell>
          <cell r="D150" t="str">
            <v>UND</v>
          </cell>
          <cell r="E150">
            <v>1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 t="str">
            <v>REFERÊNCIA:</v>
          </cell>
          <cell r="B153" t="str">
            <v>REFERÊNCIA:</v>
          </cell>
          <cell r="C153" t="str">
            <v>9816 ORSE</v>
          </cell>
        </row>
        <row r="154">
          <cell r="A154" t="str">
            <v>CPU 16</v>
          </cell>
          <cell r="B154" t="str">
            <v>CPU 16</v>
          </cell>
          <cell r="C154" t="str">
            <v>ASSENTO SANITÁRIO PARA PCD</v>
          </cell>
          <cell r="D154" t="str">
            <v>UND</v>
          </cell>
          <cell r="F154" t="str">
            <v>OK</v>
          </cell>
        </row>
        <row r="155">
          <cell r="A155" t="str">
            <v>MÃO DE OBRA</v>
          </cell>
          <cell r="B155" t="str">
            <v>MÃO DE OBRA</v>
          </cell>
        </row>
        <row r="156">
          <cell r="A156">
            <v>101384</v>
          </cell>
          <cell r="B156">
            <v>101384</v>
          </cell>
          <cell r="C156" t="str">
            <v>AUXILIAR DE ENCANADOR OU BOMBEIRO HIDRÁULICO COM ENCARGOS COMPLEMENTARES</v>
          </cell>
          <cell r="D156" t="str">
            <v>H</v>
          </cell>
          <cell r="E156">
            <v>0.28999999999999998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 t="str">
            <v>INSUMOS</v>
          </cell>
          <cell r="B159" t="str">
            <v>INSUMOS</v>
          </cell>
        </row>
        <row r="160">
          <cell r="A160" t="str">
            <v>COT</v>
          </cell>
          <cell r="B160" t="str">
            <v>COT</v>
          </cell>
          <cell r="C160" t="str">
            <v>ASSENTO SANITÁRIO PARA PCD</v>
          </cell>
          <cell r="D160" t="str">
            <v>UND</v>
          </cell>
          <cell r="E160">
            <v>1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 t="str">
            <v>REFERÊNCIA:</v>
          </cell>
          <cell r="B163" t="str">
            <v>REFERÊNCIA:</v>
          </cell>
          <cell r="C163" t="str">
            <v>202313 SBC</v>
          </cell>
        </row>
        <row r="164">
          <cell r="A164" t="str">
            <v>CPU 17</v>
          </cell>
          <cell r="B164" t="str">
            <v>CPU 17</v>
          </cell>
          <cell r="C164" t="str">
            <v>ACIONADOR MANUAL DO SISTEMA DE DETECÇÃO E ALARME, ENDEREÇÁVEL TIPO QUEBRE O VIDRO, COM CERTIFICAÇÃO UL E FM; PLACA INDICATIVA DE ACIONADOR MANUAL DO SISTEMA DE ALARME (15CM X 15CM);</v>
          </cell>
          <cell r="D164" t="str">
            <v>UND</v>
          </cell>
          <cell r="F164" t="str">
            <v>OK</v>
          </cell>
        </row>
        <row r="165">
          <cell r="A165" t="str">
            <v>MÃO DE OBRA</v>
          </cell>
          <cell r="B165" t="str">
            <v>MÃO DE OBRA</v>
          </cell>
        </row>
        <row r="166">
          <cell r="A166">
            <v>88264</v>
          </cell>
          <cell r="B166">
            <v>88264</v>
          </cell>
          <cell r="C166" t="str">
            <v>ELETRICISTA COM ENCARGOS COMPLEMENTARES</v>
          </cell>
          <cell r="D166" t="str">
            <v>H</v>
          </cell>
          <cell r="E166">
            <v>0.5</v>
          </cell>
        </row>
        <row r="167">
          <cell r="A167">
            <v>88316</v>
          </cell>
          <cell r="B167">
            <v>88316</v>
          </cell>
          <cell r="C167" t="str">
            <v>SERVENTE COM ENCARGOS COMPLEMENTARES</v>
          </cell>
          <cell r="D167" t="str">
            <v>H</v>
          </cell>
          <cell r="E167">
            <v>0.5</v>
          </cell>
        </row>
        <row r="168">
          <cell r="A168">
            <v>0</v>
          </cell>
        </row>
        <row r="169">
          <cell r="A169" t="str">
            <v>INSUMOS</v>
          </cell>
          <cell r="B169" t="str">
            <v>INSUMOS</v>
          </cell>
        </row>
        <row r="170">
          <cell r="A170">
            <v>37557</v>
          </cell>
          <cell r="B170">
            <v>37557</v>
          </cell>
          <cell r="C170" t="str">
            <v>PLACA DE SINALIZACAO DE SEGURANCA CONTRA INCENDIO, FOTOLUMINESCENTE, QUADRADA, *14 X 14* CM, EM PVC *2* MM ANTI-CHAMAS (SIMBOLOS, CORES E PICTOGRAMAS CONFORME NBR 16820)</v>
          </cell>
          <cell r="D170" t="str">
            <v>UND</v>
          </cell>
          <cell r="E170">
            <v>1</v>
          </cell>
        </row>
        <row r="171">
          <cell r="A171" t="str">
            <v>COT</v>
          </cell>
          <cell r="B171" t="str">
            <v>COT</v>
          </cell>
          <cell r="C171" t="str">
            <v>ACIONADOR MANUAL DO SISTEMA DE DETECÇÃO E ALARME, ENDEREÇÁVEL TIPO QUEBRE O VIDRO, COM CERTIFICAÇÃO UL E FM</v>
          </cell>
          <cell r="D171" t="str">
            <v>UND</v>
          </cell>
          <cell r="E171">
            <v>1</v>
          </cell>
        </row>
        <row r="172">
          <cell r="A172">
            <v>0</v>
          </cell>
        </row>
        <row r="173">
          <cell r="A173" t="str">
            <v>REFERÊNCIA:</v>
          </cell>
          <cell r="B173" t="str">
            <v>REFERÊNCIA:</v>
          </cell>
          <cell r="C173" t="str">
            <v>7861 ORSE + 00037557 SINAPI</v>
          </cell>
        </row>
        <row r="174">
          <cell r="A174" t="str">
            <v>CPU 18</v>
          </cell>
          <cell r="B174" t="str">
            <v>CPU 18</v>
          </cell>
          <cell r="C174" t="str">
            <v>BARRA DE APOIO RETA, EM ALUMINIO, COMPRIMENTO 40 CM,  FIXADA NA PAREDE - FORNECIMENTO E INSTALAÇÃO</v>
          </cell>
          <cell r="D174" t="str">
            <v>UND</v>
          </cell>
          <cell r="F174" t="str">
            <v>OK</v>
          </cell>
        </row>
        <row r="175">
          <cell r="A175" t="str">
            <v>MÃO DE OBRA</v>
          </cell>
          <cell r="B175" t="str">
            <v>MÃO DE OBRA</v>
          </cell>
        </row>
        <row r="176">
          <cell r="A176">
            <v>88267</v>
          </cell>
          <cell r="B176">
            <v>88267</v>
          </cell>
          <cell r="C176" t="str">
            <v>ENCANADOR OU BOMBEIRO HIDRÁULICO COM ENCARGOS COMPLEMENTARES</v>
          </cell>
          <cell r="D176" t="str">
            <v>H</v>
          </cell>
          <cell r="E176">
            <v>0.94</v>
          </cell>
        </row>
        <row r="177">
          <cell r="A177">
            <v>88316</v>
          </cell>
          <cell r="B177">
            <v>88316</v>
          </cell>
          <cell r="C177" t="str">
            <v>SERVENTE COM ENCARGOS COMPLEMENTARES</v>
          </cell>
          <cell r="D177" t="str">
            <v>H</v>
          </cell>
          <cell r="E177">
            <v>0.28999999999999998</v>
          </cell>
        </row>
        <row r="178">
          <cell r="A178">
            <v>0</v>
          </cell>
        </row>
        <row r="179">
          <cell r="A179" t="str">
            <v>INSUMOS</v>
          </cell>
          <cell r="B179" t="str">
            <v>INSUMOS</v>
          </cell>
        </row>
        <row r="180">
          <cell r="A180">
            <v>4351</v>
          </cell>
          <cell r="B180">
            <v>4351</v>
          </cell>
          <cell r="C180" t="str">
            <v>PARAFUSO NIQUELADO 3 1/2" COM ACABAMENTO CROMADO PARA FIXAR PECA SANITARIA</v>
          </cell>
          <cell r="D180" t="str">
            <v>UND</v>
          </cell>
          <cell r="E180">
            <v>6</v>
          </cell>
        </row>
        <row r="181">
          <cell r="A181" t="str">
            <v>COT</v>
          </cell>
          <cell r="B181" t="str">
            <v>COT</v>
          </cell>
          <cell r="C181" t="str">
            <v>BARRA DE APOIO RETA, EM ALUMINIO, COMPRIMENTO 40 CM,</v>
          </cell>
          <cell r="D181" t="str">
            <v>UND</v>
          </cell>
          <cell r="E181">
            <v>1</v>
          </cell>
        </row>
        <row r="182">
          <cell r="A182">
            <v>0</v>
          </cell>
        </row>
        <row r="183">
          <cell r="A183" t="str">
            <v>REFERÊNCIA:</v>
          </cell>
          <cell r="B183" t="str">
            <v>REFERÊNCIA:</v>
          </cell>
          <cell r="C183" t="str">
            <v>100870 SINAPI</v>
          </cell>
        </row>
        <row r="184">
          <cell r="A184" t="str">
            <v>CPU 19</v>
          </cell>
          <cell r="B184" t="str">
            <v>CPU 19</v>
          </cell>
          <cell r="C184" t="str">
            <v>BARRA EM AÇO GALVANIZADO A FOGO RE-BAR Ø8MMX3M</v>
          </cell>
          <cell r="D184" t="str">
            <v>UND</v>
          </cell>
          <cell r="F184" t="str">
            <v>OK</v>
          </cell>
        </row>
        <row r="185">
          <cell r="A185" t="str">
            <v>MÃO DE OBRA</v>
          </cell>
          <cell r="B185" t="str">
            <v>MÃO DE OBRA</v>
          </cell>
        </row>
        <row r="186">
          <cell r="A186">
            <v>88247</v>
          </cell>
          <cell r="B186">
            <v>88247</v>
          </cell>
          <cell r="C186" t="str">
            <v>AUXILIAR DE ELETRICISTA COM ENCARGOS COMPLEMENTARES</v>
          </cell>
          <cell r="D186" t="str">
            <v>H</v>
          </cell>
          <cell r="E186">
            <v>0.25</v>
          </cell>
        </row>
        <row r="187">
          <cell r="A187">
            <v>88264</v>
          </cell>
          <cell r="B187">
            <v>88264</v>
          </cell>
          <cell r="C187" t="str">
            <v>ELETRICISTA COM ENCARGOS COMPLEMENTARES</v>
          </cell>
          <cell r="D187" t="str">
            <v>H</v>
          </cell>
          <cell r="E187">
            <v>0.25</v>
          </cell>
        </row>
        <row r="188">
          <cell r="A188">
            <v>0</v>
          </cell>
        </row>
        <row r="189">
          <cell r="A189" t="str">
            <v>INSUMOS</v>
          </cell>
          <cell r="B189" t="str">
            <v>INSUMOS</v>
          </cell>
        </row>
        <row r="190">
          <cell r="A190" t="str">
            <v>COT</v>
          </cell>
          <cell r="B190" t="str">
            <v>COT</v>
          </cell>
          <cell r="C190" t="str">
            <v>BARRA EM AÇO GALVANIZADO A FOGO RE-BAR Ø8MMX3M</v>
          </cell>
          <cell r="D190" t="str">
            <v>UND</v>
          </cell>
          <cell r="E190">
            <v>1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 t="str">
            <v>REFERÊNCIA:</v>
          </cell>
          <cell r="B193" t="str">
            <v>REFERÊNCIA:</v>
          </cell>
          <cell r="C193" t="str">
            <v>SPDA-BAR-020 SETOP</v>
          </cell>
        </row>
        <row r="194">
          <cell r="A194" t="str">
            <v>CPU 20</v>
          </cell>
          <cell r="B194" t="str">
            <v>CPU 20</v>
          </cell>
          <cell r="C194" t="str">
            <v>BASE PARA MASTRO 2" EM ALUMÍNIO FUNDIDO TEL 075 OU EQUIVALENTE TÉCNICO</v>
          </cell>
          <cell r="D194" t="str">
            <v>UND</v>
          </cell>
          <cell r="F194" t="str">
            <v>OK</v>
          </cell>
        </row>
        <row r="195">
          <cell r="A195" t="str">
            <v>MÃO DE OBRA</v>
          </cell>
          <cell r="B195" t="str">
            <v>MÃO DE OBRA</v>
          </cell>
        </row>
        <row r="196">
          <cell r="A196">
            <v>88247</v>
          </cell>
          <cell r="B196">
            <v>88247</v>
          </cell>
          <cell r="C196" t="str">
            <v>AUXILIAR DE ELETRICISTA COM ENCARGOS COMPLEMENTARES</v>
          </cell>
          <cell r="D196" t="str">
            <v>H</v>
          </cell>
          <cell r="E196">
            <v>1.18</v>
          </cell>
        </row>
        <row r="197">
          <cell r="A197">
            <v>88264</v>
          </cell>
          <cell r="B197">
            <v>88264</v>
          </cell>
          <cell r="C197" t="str">
            <v>ELETRICISTA COM ENCARGOS COMPLEMENTARES</v>
          </cell>
          <cell r="D197" t="str">
            <v>H</v>
          </cell>
          <cell r="E197">
            <v>1.18</v>
          </cell>
        </row>
        <row r="198">
          <cell r="A198">
            <v>0</v>
          </cell>
        </row>
        <row r="199">
          <cell r="A199" t="str">
            <v>INSUMOS</v>
          </cell>
          <cell r="B199" t="str">
            <v>INSUMOS</v>
          </cell>
        </row>
        <row r="200">
          <cell r="A200">
            <v>7568</v>
          </cell>
          <cell r="B200">
            <v>7568</v>
          </cell>
          <cell r="C200" t="str">
            <v>BUCHA DE NYLON SEM ABA S10, COM PARAFUSO DE 6,10 X 65 MM EM ACO ZINCADO COM ROSCA SOBERBA, CABECA CHATA E FENDA PHILLIPS</v>
          </cell>
          <cell r="D200" t="str">
            <v>UND</v>
          </cell>
          <cell r="E200">
            <v>4</v>
          </cell>
        </row>
        <row r="201">
          <cell r="A201">
            <v>11267</v>
          </cell>
          <cell r="B201">
            <v>11267</v>
          </cell>
          <cell r="C201" t="str">
            <v>ARRUELA LISA, REDONDA, DE LATAO POLIDO, DIAMETRO NOMINAL 5/8", DIAMETRO EXTERNO = 34 MM, DIAMETRO DO FURO = 17 MM, ESPESSURA = *2,5* MM</v>
          </cell>
          <cell r="D201" t="str">
            <v>UND</v>
          </cell>
          <cell r="E201">
            <v>4</v>
          </cell>
        </row>
        <row r="202">
          <cell r="A202">
            <v>10956</v>
          </cell>
          <cell r="B202">
            <v>10956</v>
          </cell>
          <cell r="C202" t="str">
            <v>BASE PARA MASTRO DE PARA-RAIOS DIAMETRO NOMINAL 2"</v>
          </cell>
          <cell r="D202" t="str">
            <v>UND</v>
          </cell>
          <cell r="E202">
            <v>1</v>
          </cell>
        </row>
        <row r="203">
          <cell r="A203" t="str">
            <v>REFERÊNCIA:</v>
          </cell>
          <cell r="B203" t="str">
            <v>REFERÊNCIA:</v>
          </cell>
          <cell r="C203" t="str">
            <v>96987 SINAPI - TROCAR O INSUMO POR 00010956</v>
          </cell>
        </row>
        <row r="204">
          <cell r="A204" t="str">
            <v>CPU 21</v>
          </cell>
          <cell r="B204" t="str">
            <v>CPU 21</v>
          </cell>
          <cell r="C204" t="str">
            <v>BLOCO AUTÔNOMO - ACLARAMENTO - AUTONOMIA 1H</v>
          </cell>
          <cell r="D204" t="str">
            <v>UND</v>
          </cell>
          <cell r="F204" t="str">
            <v>OK</v>
          </cell>
        </row>
        <row r="205">
          <cell r="A205" t="str">
            <v>MÃO DE OBRA</v>
          </cell>
          <cell r="B205" t="str">
            <v>MÃO DE OBRA</v>
          </cell>
        </row>
        <row r="206">
          <cell r="A206">
            <v>88247</v>
          </cell>
          <cell r="B206">
            <v>88247</v>
          </cell>
          <cell r="C206" t="str">
            <v>AUXILIAR DE ELETRICISTA COM ENCARGOS COMPLEMENTARES</v>
          </cell>
          <cell r="D206" t="str">
            <v>H</v>
          </cell>
          <cell r="E206">
            <v>0.97</v>
          </cell>
        </row>
        <row r="207">
          <cell r="A207">
            <v>88264</v>
          </cell>
          <cell r="B207">
            <v>88264</v>
          </cell>
          <cell r="C207" t="str">
            <v>ELETRICISTA COM ENCARGOS COMPLEMENTARES</v>
          </cell>
          <cell r="D207" t="str">
            <v>H</v>
          </cell>
          <cell r="E207">
            <v>1.1599999999999999</v>
          </cell>
        </row>
        <row r="208">
          <cell r="A208">
            <v>0</v>
          </cell>
        </row>
        <row r="209">
          <cell r="A209" t="str">
            <v>INSUMOS</v>
          </cell>
          <cell r="B209" t="str">
            <v>INSUMOS</v>
          </cell>
        </row>
        <row r="210">
          <cell r="A210" t="str">
            <v>COT</v>
          </cell>
          <cell r="B210" t="str">
            <v>COT</v>
          </cell>
          <cell r="C210" t="str">
            <v>BLOCO AUTÔNOMO - ACLARAMENTO - AUTONOMIA 1H</v>
          </cell>
          <cell r="D210" t="str">
            <v>UND</v>
          </cell>
          <cell r="E210">
            <v>1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 t="str">
            <v>REFERÊNCIA:</v>
          </cell>
          <cell r="B213" t="str">
            <v>REFERÊNCIA:</v>
          </cell>
          <cell r="C213" t="str">
            <v>060871 SBC</v>
          </cell>
        </row>
        <row r="214">
          <cell r="A214" t="str">
            <v>CPU 22</v>
          </cell>
          <cell r="B214" t="str">
            <v>CPU 22</v>
          </cell>
          <cell r="C214" t="str">
            <v>BLOCO AUTÔNOMO - ACLARAMENTO - AUTONOMIA 3H - 600LM</v>
          </cell>
          <cell r="D214" t="str">
            <v>UND</v>
          </cell>
          <cell r="F214" t="str">
            <v>OK</v>
          </cell>
        </row>
        <row r="215">
          <cell r="A215" t="str">
            <v>MÃO DE OBRA</v>
          </cell>
          <cell r="B215" t="str">
            <v>MÃO DE OBRA</v>
          </cell>
        </row>
        <row r="216">
          <cell r="A216">
            <v>88247</v>
          </cell>
          <cell r="B216">
            <v>88247</v>
          </cell>
          <cell r="C216" t="str">
            <v>AUXILIAR DE ELETRICISTA COM ENCARGOS COMPLEMENTARES</v>
          </cell>
          <cell r="D216" t="str">
            <v>H</v>
          </cell>
          <cell r="E216">
            <v>0.97</v>
          </cell>
        </row>
        <row r="217">
          <cell r="A217">
            <v>88264</v>
          </cell>
          <cell r="B217">
            <v>88264</v>
          </cell>
          <cell r="C217" t="str">
            <v>ELETRICISTA COM ENCARGOS COMPLEMENTARES</v>
          </cell>
          <cell r="D217" t="str">
            <v>H</v>
          </cell>
          <cell r="E217">
            <v>1.1599999999999999</v>
          </cell>
        </row>
        <row r="218">
          <cell r="A218">
            <v>0</v>
          </cell>
        </row>
        <row r="219">
          <cell r="A219" t="str">
            <v>INSUMOS</v>
          </cell>
          <cell r="B219" t="str">
            <v>INSUMOS</v>
          </cell>
        </row>
        <row r="220">
          <cell r="A220" t="str">
            <v>COT</v>
          </cell>
          <cell r="B220" t="str">
            <v>COT</v>
          </cell>
          <cell r="C220" t="str">
            <v>BLOCO AUTÔNOMO - ACLARAMENTO - AUTONOMIA 3H - 600LM</v>
          </cell>
          <cell r="D220" t="str">
            <v>UND</v>
          </cell>
          <cell r="E220">
            <v>1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 t="str">
            <v>REFERÊNCIA:</v>
          </cell>
          <cell r="B223" t="str">
            <v>REFERÊNCIA:</v>
          </cell>
          <cell r="C223" t="str">
            <v>060871 SBC</v>
          </cell>
        </row>
        <row r="224">
          <cell r="A224" t="str">
            <v>CPU 23</v>
          </cell>
          <cell r="B224" t="str">
            <v>CPU 23</v>
          </cell>
          <cell r="C224" t="str">
            <v>BLOCO AUTONOMO PLUGAVEL ACLARAMENTO AUTONOMIA 3H</v>
          </cell>
          <cell r="D224" t="str">
            <v>UND</v>
          </cell>
          <cell r="F224" t="str">
            <v>NÃO</v>
          </cell>
        </row>
        <row r="225">
          <cell r="A225" t="str">
            <v>MÃO DE OBRA</v>
          </cell>
          <cell r="B225" t="str">
            <v>MÃO DE OBRA</v>
          </cell>
        </row>
        <row r="226">
          <cell r="A226">
            <v>88247</v>
          </cell>
          <cell r="B226">
            <v>88247</v>
          </cell>
          <cell r="C226" t="str">
            <v>AUXILIAR DE ELETRICISTA COM ENCARGOS COMPLEMENTARES</v>
          </cell>
          <cell r="D226" t="str">
            <v>H</v>
          </cell>
          <cell r="E226">
            <v>0.97</v>
          </cell>
        </row>
        <row r="227">
          <cell r="A227">
            <v>88264</v>
          </cell>
          <cell r="B227">
            <v>88264</v>
          </cell>
          <cell r="C227" t="str">
            <v>ELETRICISTA COM ENCARGOS COMPLEMENTARES</v>
          </cell>
          <cell r="D227" t="str">
            <v>H</v>
          </cell>
          <cell r="E227">
            <v>1.1599999999999999</v>
          </cell>
        </row>
        <row r="228">
          <cell r="A228">
            <v>0</v>
          </cell>
        </row>
        <row r="229">
          <cell r="A229" t="str">
            <v>INSUMOS</v>
          </cell>
          <cell r="B229" t="str">
            <v>INSUMOS</v>
          </cell>
        </row>
        <row r="230">
          <cell r="A230" t="str">
            <v>COT</v>
          </cell>
          <cell r="B230" t="str">
            <v>COT</v>
          </cell>
          <cell r="C230" t="str">
            <v>BLOCO AUTONOMO PLUGAVEL ACLARAMENTO AUTONOMIA 3H</v>
          </cell>
          <cell r="D230" t="str">
            <v>UND</v>
          </cell>
          <cell r="E230">
            <v>1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 t="str">
            <v>REFERÊNCIA:</v>
          </cell>
          <cell r="B233" t="str">
            <v>REFERÊNCIA:</v>
          </cell>
          <cell r="C233" t="str">
            <v>060871 SBC</v>
          </cell>
        </row>
        <row r="234">
          <cell r="A234" t="str">
            <v>CPU 24</v>
          </cell>
          <cell r="B234" t="str">
            <v>CPU 24</v>
          </cell>
          <cell r="C234" t="str">
            <v>BLOCO CONEXÃO - 110 IDC - 100 PARES</v>
          </cell>
          <cell r="D234" t="str">
            <v>UND</v>
          </cell>
          <cell r="F234" t="str">
            <v>OK</v>
          </cell>
        </row>
        <row r="235">
          <cell r="A235" t="str">
            <v>MÃO DE OBRA</v>
          </cell>
          <cell r="B235" t="str">
            <v>MÃO DE OBRA</v>
          </cell>
        </row>
        <row r="236">
          <cell r="A236">
            <v>88243</v>
          </cell>
          <cell r="B236">
            <v>88243</v>
          </cell>
          <cell r="C236" t="str">
            <v>AJUDANTE ESPECIALIZADO</v>
          </cell>
          <cell r="D236" t="str">
            <v>H</v>
          </cell>
          <cell r="E236">
            <v>1.94</v>
          </cell>
        </row>
        <row r="237">
          <cell r="A237">
            <v>88266</v>
          </cell>
          <cell r="B237">
            <v>88266</v>
          </cell>
          <cell r="C237" t="str">
            <v>ELETROTECNICO (HORISTA)</v>
          </cell>
          <cell r="D237" t="str">
            <v>H</v>
          </cell>
          <cell r="E237">
            <v>1.94</v>
          </cell>
        </row>
        <row r="238">
          <cell r="A238">
            <v>0</v>
          </cell>
        </row>
        <row r="239">
          <cell r="A239" t="str">
            <v>INSUMOS</v>
          </cell>
          <cell r="B239" t="str">
            <v>INSUMOS</v>
          </cell>
        </row>
        <row r="240">
          <cell r="A240" t="str">
            <v>COT</v>
          </cell>
          <cell r="B240" t="str">
            <v>COT</v>
          </cell>
          <cell r="C240" t="str">
            <v>BLOCO CONEXÃO - 110 IDC - 100 PARES</v>
          </cell>
          <cell r="D240" t="str">
            <v>UND</v>
          </cell>
          <cell r="E240">
            <v>1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 t="str">
            <v>REFERÊNCIA:</v>
          </cell>
          <cell r="B243" t="str">
            <v>REFERÊNCIA:</v>
          </cell>
          <cell r="C243" t="str">
            <v>059427SBC</v>
          </cell>
        </row>
        <row r="244">
          <cell r="A244" t="str">
            <v>CPU 25</v>
          </cell>
          <cell r="B244" t="str">
            <v>CPU 25</v>
          </cell>
          <cell r="C244" t="str">
            <v>BLOCOS AUTÔNOMOS DE ACLARAMENTO COM 500 LM, 18W E AUTONOMIA DE 2H;</v>
          </cell>
          <cell r="D244" t="str">
            <v>UND</v>
          </cell>
          <cell r="F244" t="str">
            <v>OK</v>
          </cell>
        </row>
        <row r="245">
          <cell r="A245" t="str">
            <v>MÃO DE OBRA</v>
          </cell>
          <cell r="B245" t="str">
            <v>MÃO DE OBRA</v>
          </cell>
        </row>
        <row r="246">
          <cell r="A246">
            <v>88247</v>
          </cell>
          <cell r="B246">
            <v>88247</v>
          </cell>
          <cell r="C246" t="str">
            <v>AUXILIAR DE ELETRICISTA COM ENCARGOS COMPLEMENTARES</v>
          </cell>
          <cell r="D246" t="str">
            <v>H</v>
          </cell>
          <cell r="E246">
            <v>0.97</v>
          </cell>
        </row>
        <row r="247">
          <cell r="A247">
            <v>88264</v>
          </cell>
          <cell r="B247">
            <v>88264</v>
          </cell>
          <cell r="C247" t="str">
            <v>ELETRICISTA COM ENCARGOS COMPLEMENTARES</v>
          </cell>
          <cell r="D247" t="str">
            <v>H</v>
          </cell>
          <cell r="E247">
            <v>1.1599999999999999</v>
          </cell>
        </row>
        <row r="248">
          <cell r="A248">
            <v>0</v>
          </cell>
        </row>
        <row r="249">
          <cell r="A249" t="str">
            <v>INSUMOS</v>
          </cell>
          <cell r="B249" t="str">
            <v>INSUMOS</v>
          </cell>
        </row>
        <row r="250">
          <cell r="A250" t="str">
            <v>COT</v>
          </cell>
          <cell r="B250" t="str">
            <v>COT</v>
          </cell>
          <cell r="C250" t="str">
            <v>BLOCOS AUTÔNOMOS DE ACLARAMENTO COM 500 LM, 18W E AUTONOMIA DE 2H;</v>
          </cell>
          <cell r="D250" t="str">
            <v>UND</v>
          </cell>
          <cell r="E250">
            <v>1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 t="str">
            <v>REFERÊNCIA:</v>
          </cell>
          <cell r="B253" t="str">
            <v>REFERÊNCIA:</v>
          </cell>
          <cell r="C253" t="str">
            <v>060871 SBC</v>
          </cell>
        </row>
        <row r="254">
          <cell r="A254" t="str">
            <v>CPU 26</v>
          </cell>
          <cell r="B254" t="str">
            <v>CPU 26</v>
          </cell>
          <cell r="C254" t="str">
            <v>BUCHA DE PASSAGEM</v>
          </cell>
          <cell r="D254" t="str">
            <v>UND</v>
          </cell>
          <cell r="F254" t="str">
            <v>OK</v>
          </cell>
        </row>
        <row r="255">
          <cell r="A255" t="str">
            <v>MÃO DE OBRA</v>
          </cell>
          <cell r="B255" t="str">
            <v>MÃO DE OBRA</v>
          </cell>
        </row>
        <row r="256">
          <cell r="A256">
            <v>88247</v>
          </cell>
          <cell r="B256">
            <v>88247</v>
          </cell>
          <cell r="C256" t="str">
            <v>AUXILIAR DE ELETRICISTA COM ENCARGOS COMPLEMENTARES</v>
          </cell>
          <cell r="D256" t="str">
            <v>H</v>
          </cell>
          <cell r="E256">
            <v>0.4</v>
          </cell>
        </row>
        <row r="257">
          <cell r="A257">
            <v>88264</v>
          </cell>
          <cell r="B257">
            <v>88264</v>
          </cell>
          <cell r="C257" t="str">
            <v>ELETRICISTA COM ENCARGOS COMPLEMENTARES</v>
          </cell>
          <cell r="D257" t="str">
            <v>H</v>
          </cell>
          <cell r="E257">
            <v>0.4</v>
          </cell>
        </row>
        <row r="258">
          <cell r="A258">
            <v>0</v>
          </cell>
        </row>
        <row r="259">
          <cell r="A259" t="str">
            <v>INSUMOS</v>
          </cell>
          <cell r="B259" t="str">
            <v>INSUMOS</v>
          </cell>
        </row>
        <row r="260">
          <cell r="A260" t="str">
            <v>COT</v>
          </cell>
          <cell r="B260" t="str">
            <v>COT</v>
          </cell>
          <cell r="C260" t="str">
            <v>BUCHA DE PASSAGEM</v>
          </cell>
          <cell r="D260" t="str">
            <v>UND</v>
          </cell>
          <cell r="E260">
            <v>1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 t="str">
            <v>REFERÊNCIA:</v>
          </cell>
          <cell r="B263" t="str">
            <v>REFERÊNCIA:</v>
          </cell>
          <cell r="C263" t="str">
            <v>09.80.006 FDE</v>
          </cell>
        </row>
        <row r="264">
          <cell r="A264" t="str">
            <v>CPU 27</v>
          </cell>
          <cell r="B264" t="str">
            <v>CPU 27</v>
          </cell>
          <cell r="C264" t="str">
            <v>BUCHA DE REDUÇÃO CURTA - 40MMX32MM</v>
          </cell>
          <cell r="D264" t="str">
            <v>UND</v>
          </cell>
          <cell r="F264" t="str">
            <v>OK</v>
          </cell>
        </row>
        <row r="265">
          <cell r="A265" t="str">
            <v>MÃO DE OBRA</v>
          </cell>
          <cell r="B265" t="str">
            <v>MÃO DE OBRA</v>
          </cell>
        </row>
        <row r="266">
          <cell r="A266">
            <v>88248</v>
          </cell>
          <cell r="B266">
            <v>88248</v>
          </cell>
          <cell r="C266" t="str">
            <v>AUXILIAR DE ENCANADOR OU BOMBEIRO HIDRÁULICO COM ENCARGOS COMPLEMENTARES</v>
          </cell>
          <cell r="D266" t="str">
            <v>H</v>
          </cell>
          <cell r="E266" t="str">
            <v>0,0527</v>
          </cell>
        </row>
        <row r="267">
          <cell r="A267">
            <v>88267</v>
          </cell>
          <cell r="B267">
            <v>88267</v>
          </cell>
          <cell r="C267" t="str">
            <v>ENCANADOR OU BOMBEIRO HIDRÁULICO COM ENCARGOS COMPLEMENTARES</v>
          </cell>
          <cell r="D267" t="str">
            <v>H</v>
          </cell>
          <cell r="E267" t="str">
            <v>0,0527</v>
          </cell>
        </row>
        <row r="268">
          <cell r="A268">
            <v>0</v>
          </cell>
        </row>
        <row r="269">
          <cell r="A269" t="str">
            <v>INSUMOS</v>
          </cell>
          <cell r="B269" t="str">
            <v>INSUMOS</v>
          </cell>
        </row>
        <row r="270">
          <cell r="A270">
            <v>122</v>
          </cell>
          <cell r="B270">
            <v>122</v>
          </cell>
          <cell r="C270" t="str">
            <v>ADESIVO PLASTICO PARA PVC, FRASCO COM *850* GR</v>
          </cell>
          <cell r="D270" t="str">
            <v>UND</v>
          </cell>
          <cell r="E270" t="str">
            <v>0,0095</v>
          </cell>
        </row>
        <row r="271">
          <cell r="A271" t="str">
            <v>COT</v>
          </cell>
          <cell r="B271" t="str">
            <v>COT</v>
          </cell>
          <cell r="C271" t="str">
            <v>BUCHA DE REDUCAO DE PVC, SOLDAVEL, LONGA, COM 40 X 25 MM, PARA AGUA FRIA PREDIAL</v>
          </cell>
          <cell r="D271" t="str">
            <v>UND</v>
          </cell>
          <cell r="E271">
            <v>1</v>
          </cell>
        </row>
        <row r="272">
          <cell r="A272" t="str">
            <v>00020083</v>
          </cell>
          <cell r="B272" t="str">
            <v>00020083</v>
          </cell>
          <cell r="C272" t="str">
            <v>SOLUCAO PREPARADORA / LIMPADORA PARA PVC, FRASCO COM 1000 CM3</v>
          </cell>
          <cell r="D272" t="str">
            <v>UND</v>
          </cell>
          <cell r="E272">
            <v>0.11</v>
          </cell>
        </row>
        <row r="273">
          <cell r="A273">
            <v>38383</v>
          </cell>
          <cell r="B273">
            <v>38383</v>
          </cell>
          <cell r="C273" t="str">
            <v>LIXA D'AGUA EM FOLHA, GRAO 100</v>
          </cell>
          <cell r="D273" t="str">
            <v>UND</v>
          </cell>
          <cell r="E273" t="str">
            <v>0,0088</v>
          </cell>
        </row>
        <row r="274">
          <cell r="A274">
            <v>0</v>
          </cell>
        </row>
        <row r="275">
          <cell r="A275" t="str">
            <v>REFERÊNCIA:</v>
          </cell>
          <cell r="B275" t="str">
            <v>REFERÊNCIA:</v>
          </cell>
          <cell r="C275" t="str">
            <v>105233 SINAPI</v>
          </cell>
        </row>
        <row r="276">
          <cell r="A276" t="str">
            <v>CPU 28</v>
          </cell>
          <cell r="B276" t="str">
            <v>CPU 28</v>
          </cell>
          <cell r="C276" t="str">
            <v>CABEÇOTE ALUMÍNIO P/ ELETRODUTO - 1.1/2"</v>
          </cell>
          <cell r="D276" t="str">
            <v>UND</v>
          </cell>
          <cell r="F276" t="str">
            <v>OK</v>
          </cell>
        </row>
        <row r="277">
          <cell r="A277" t="str">
            <v>MÃO DE OBRA</v>
          </cell>
          <cell r="B277" t="str">
            <v>MÃO DE OBRA</v>
          </cell>
        </row>
        <row r="278">
          <cell r="A278">
            <v>88264</v>
          </cell>
          <cell r="B278">
            <v>88264</v>
          </cell>
          <cell r="C278" t="str">
            <v>ELETRICISTA COM ENCARGOS COMPLEMENTARES</v>
          </cell>
          <cell r="D278" t="str">
            <v>H</v>
          </cell>
          <cell r="E278">
            <v>0.27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 t="str">
            <v>INSUMOS</v>
          </cell>
          <cell r="B281" t="str">
            <v>INSUMOS</v>
          </cell>
        </row>
        <row r="282">
          <cell r="A282" t="str">
            <v>COT</v>
          </cell>
          <cell r="B282" t="str">
            <v>COT</v>
          </cell>
          <cell r="C282" t="str">
            <v>CABEÇOTE ALUMÍNIO P/ ELETRODUTO - 1.1/2"</v>
          </cell>
          <cell r="D282" t="str">
            <v>UND</v>
          </cell>
          <cell r="E282">
            <v>1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 t="str">
            <v>REFERÊNCIA:</v>
          </cell>
          <cell r="B285" t="str">
            <v>REFERÊNCIA:</v>
          </cell>
          <cell r="C285" t="str">
            <v>9043 ORSE</v>
          </cell>
        </row>
        <row r="286">
          <cell r="A286" t="str">
            <v>CPU 29</v>
          </cell>
          <cell r="B286" t="str">
            <v>CPU 29</v>
          </cell>
          <cell r="C286" t="str">
            <v>CABO DE COBRE NU, 7 FIOS #16MM²</v>
          </cell>
          <cell r="D286" t="str">
            <v>M</v>
          </cell>
          <cell r="F286" t="str">
            <v>OK</v>
          </cell>
        </row>
        <row r="287">
          <cell r="A287" t="str">
            <v>MÃO DE OBRA</v>
          </cell>
          <cell r="B287" t="str">
            <v>MÃO DE OBRA</v>
          </cell>
        </row>
        <row r="288">
          <cell r="A288">
            <v>88247</v>
          </cell>
          <cell r="B288">
            <v>88247</v>
          </cell>
          <cell r="C288" t="str">
            <v>AUXILIAR DE ELETRICISTA COM ENCARGOS COMPLEMENTARES</v>
          </cell>
          <cell r="D288" t="str">
            <v>H</v>
          </cell>
          <cell r="E288" t="str">
            <v>0,2484</v>
          </cell>
        </row>
        <row r="289">
          <cell r="A289">
            <v>88264</v>
          </cell>
          <cell r="B289">
            <v>88264</v>
          </cell>
          <cell r="C289" t="str">
            <v>ELETRICISTA COM ENCARGOS COMPLEMENTARES</v>
          </cell>
          <cell r="D289" t="str">
            <v>H</v>
          </cell>
          <cell r="E289" t="str">
            <v>0,2484</v>
          </cell>
        </row>
        <row r="290">
          <cell r="A290">
            <v>98463</v>
          </cell>
          <cell r="B290">
            <v>98463</v>
          </cell>
          <cell r="C290" t="str">
            <v>SUPORTE ISOLADOR PARA FIXAÇÃO DA CORDOALHA DE COBRE EM ALVENARIA OU CONCRETO - FORNECIMENTO E INSTALAÇÃO. AF_08/2023</v>
          </cell>
          <cell r="D290" t="str">
            <v>UND</v>
          </cell>
          <cell r="E290">
            <v>0.66</v>
          </cell>
        </row>
        <row r="291">
          <cell r="A291" t="str">
            <v>INSUMOS</v>
          </cell>
          <cell r="B291" t="str">
            <v>INSUMOS</v>
          </cell>
        </row>
        <row r="292">
          <cell r="A292" t="str">
            <v>COT</v>
          </cell>
          <cell r="B292" t="str">
            <v>COT</v>
          </cell>
          <cell r="C292" t="str">
            <v>CABO DE COBRE NU, 7 FIOS #16MM²</v>
          </cell>
          <cell r="D292" t="str">
            <v>UND</v>
          </cell>
          <cell r="E292">
            <v>1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 t="str">
            <v>REFERÊNCIA:</v>
          </cell>
          <cell r="B295" t="str">
            <v>REFERÊNCIA:</v>
          </cell>
          <cell r="C295" t="str">
            <v>96973 SINAPI</v>
          </cell>
        </row>
        <row r="296">
          <cell r="A296" t="str">
            <v>CPU 30</v>
          </cell>
          <cell r="B296" t="str">
            <v>CPU 30</v>
          </cell>
          <cell r="C296" t="str">
            <v>CABO DE COBRE NU, MEIO DURO, 10MM2</v>
          </cell>
          <cell r="D296" t="str">
            <v>M</v>
          </cell>
          <cell r="F296" t="str">
            <v>OK</v>
          </cell>
        </row>
        <row r="297">
          <cell r="A297" t="str">
            <v>MÃO DE OBRA</v>
          </cell>
          <cell r="B297" t="str">
            <v>MÃO DE OBRA</v>
          </cell>
        </row>
        <row r="298">
          <cell r="A298">
            <v>88247</v>
          </cell>
          <cell r="B298">
            <v>88247</v>
          </cell>
          <cell r="C298" t="str">
            <v>AUXILIAR DE ELETRICISTA COM ENCARGOS COMPLEMENTARES</v>
          </cell>
          <cell r="D298" t="str">
            <v>H</v>
          </cell>
          <cell r="E298" t="str">
            <v>0,2484</v>
          </cell>
        </row>
        <row r="299">
          <cell r="A299">
            <v>88264</v>
          </cell>
          <cell r="B299">
            <v>88264</v>
          </cell>
          <cell r="C299" t="str">
            <v>ELETRICISTA COM ENCARGOS COMPLEMENTARES</v>
          </cell>
          <cell r="D299" t="str">
            <v>H</v>
          </cell>
          <cell r="E299" t="str">
            <v>0,2484</v>
          </cell>
        </row>
        <row r="300">
          <cell r="A300">
            <v>98463</v>
          </cell>
          <cell r="B300">
            <v>98463</v>
          </cell>
          <cell r="C300" t="str">
            <v>SUPORTE ISOLADOR PARA FIXAÇÃO DA CORDOALHA DE COBRE EM ALVENARIA OU CONCRETO - FORNECIMENTO E INSTALAÇÃO. AF_08/2023</v>
          </cell>
          <cell r="D300" t="str">
            <v>UND</v>
          </cell>
          <cell r="E300">
            <v>0.66</v>
          </cell>
        </row>
        <row r="301">
          <cell r="A301" t="str">
            <v>INSUMOS</v>
          </cell>
          <cell r="B301" t="str">
            <v>INSUMOS</v>
          </cell>
        </row>
        <row r="302">
          <cell r="A302" t="str">
            <v>COT</v>
          </cell>
          <cell r="B302" t="str">
            <v>COT</v>
          </cell>
          <cell r="C302" t="str">
            <v>CABO DE COBRE NU, MEIO DURO, 10MM2</v>
          </cell>
          <cell r="D302" t="str">
            <v>UND</v>
          </cell>
          <cell r="E302">
            <v>1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 t="str">
            <v>REFERÊNCIA:</v>
          </cell>
          <cell r="B305" t="str">
            <v>REFERÊNCIA:</v>
          </cell>
          <cell r="C305" t="str">
            <v>96973 SINAPI</v>
          </cell>
        </row>
        <row r="306">
          <cell r="A306" t="str">
            <v>CPU 31</v>
          </cell>
          <cell r="B306" t="str">
            <v>CPU 31</v>
          </cell>
          <cell r="C306" t="str">
            <v>CABO OPTICO 24F</v>
          </cell>
          <cell r="D306" t="str">
            <v>M</v>
          </cell>
          <cell r="F306" t="str">
            <v>OK</v>
          </cell>
        </row>
        <row r="307">
          <cell r="A307" t="str">
            <v>MÃO DE OBRA</v>
          </cell>
          <cell r="B307" t="str">
            <v>MÃO DE OBRA</v>
          </cell>
        </row>
        <row r="308">
          <cell r="A308">
            <v>88243</v>
          </cell>
          <cell r="B308">
            <v>88243</v>
          </cell>
          <cell r="C308" t="str">
            <v>AJUDANTE ESPECIALIZADO COM ENCARGOS COMPLEMENTARES</v>
          </cell>
          <cell r="D308" t="str">
            <v>H</v>
          </cell>
          <cell r="E308">
            <v>0.31</v>
          </cell>
        </row>
        <row r="309">
          <cell r="A309">
            <v>88266</v>
          </cell>
          <cell r="B309">
            <v>88266</v>
          </cell>
          <cell r="C309" t="str">
            <v>ELETROTÉCNICO COM ENCARGOS COMPLEMENTARES</v>
          </cell>
          <cell r="D309" t="str">
            <v>H</v>
          </cell>
          <cell r="E309">
            <v>0.31</v>
          </cell>
        </row>
        <row r="310">
          <cell r="A310">
            <v>0</v>
          </cell>
        </row>
        <row r="311">
          <cell r="A311" t="str">
            <v>INSUMOS</v>
          </cell>
          <cell r="B311" t="str">
            <v>INSUMOS</v>
          </cell>
        </row>
        <row r="312">
          <cell r="A312" t="str">
            <v>COT</v>
          </cell>
          <cell r="B312" t="str">
            <v>COT</v>
          </cell>
          <cell r="C312" t="str">
            <v>CABO OPTICO 24F</v>
          </cell>
          <cell r="D312" t="str">
            <v>UND</v>
          </cell>
          <cell r="E312">
            <v>1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 t="str">
            <v>REFERÊNCIA:</v>
          </cell>
          <cell r="B315" t="str">
            <v>REFERÊNCIA:</v>
          </cell>
          <cell r="C315" t="str">
            <v>059434 SBC</v>
          </cell>
        </row>
        <row r="316">
          <cell r="A316" t="str">
            <v>CPU 32</v>
          </cell>
          <cell r="B316" t="str">
            <v>CPU 32</v>
          </cell>
          <cell r="C316" t="str">
            <v>CAIXA CILÍNDRICA 100 - 1000MM</v>
          </cell>
          <cell r="D316" t="str">
            <v>UND</v>
          </cell>
          <cell r="F316" t="str">
            <v>OK</v>
          </cell>
        </row>
        <row r="317">
          <cell r="A317" t="str">
            <v>MÃO DE OBRA</v>
          </cell>
          <cell r="B317" t="str">
            <v>MÃO DE OBRA</v>
          </cell>
        </row>
        <row r="318">
          <cell r="A318">
            <v>88248</v>
          </cell>
          <cell r="B318">
            <v>88248</v>
          </cell>
          <cell r="C318" t="str">
            <v>AUXILIAR DE ENCANADOR OU BOMBEIRO HIDRÁULICO COM ENCARGOS COMPLEMENTARES</v>
          </cell>
          <cell r="D318" t="str">
            <v>H</v>
          </cell>
          <cell r="E318">
            <v>0.6</v>
          </cell>
        </row>
        <row r="319">
          <cell r="A319">
            <v>88267</v>
          </cell>
          <cell r="B319">
            <v>88267</v>
          </cell>
          <cell r="C319" t="str">
            <v>ENCANADOR OU BOMBEIRO HIDRÁULICO COM ENCARGOS COMPLEMENTARES</v>
          </cell>
          <cell r="D319" t="str">
            <v>H</v>
          </cell>
          <cell r="E319">
            <v>0.6</v>
          </cell>
        </row>
        <row r="320">
          <cell r="A320">
            <v>0</v>
          </cell>
        </row>
        <row r="321">
          <cell r="A321" t="str">
            <v>INSUMOS</v>
          </cell>
          <cell r="B321" t="str">
            <v>INSUMOS</v>
          </cell>
        </row>
        <row r="322">
          <cell r="A322" t="str">
            <v>cot</v>
          </cell>
          <cell r="B322" t="str">
            <v>cot</v>
          </cell>
          <cell r="C322" t="str">
            <v>CAIXA DE INSPEÇÃO (MATERIAL: PVC RÍGIDO|DIÂMETRO DE ENTRADA/SAÍDA: 100MM|FORMA: CILÍNDRICA|DIÂMETRO: 300MM|NÚMERO DE ENTRADAS: 3|TAMPA: INCLUSO)</v>
          </cell>
          <cell r="D322" t="str">
            <v>UND</v>
          </cell>
          <cell r="E322">
            <v>1</v>
          </cell>
        </row>
        <row r="323">
          <cell r="A323" t="str">
            <v>cot</v>
          </cell>
          <cell r="B323" t="str">
            <v>cot</v>
          </cell>
          <cell r="C323" t="str">
            <v>PASTA LUBRIFICANTE PARA TUBO DE PVC (DENSIDADE MÉDIA: 1000KG/M3)</v>
          </cell>
          <cell r="D323" t="str">
            <v>UND</v>
          </cell>
          <cell r="E323">
            <v>0.22</v>
          </cell>
        </row>
        <row r="324">
          <cell r="A324">
            <v>0</v>
          </cell>
        </row>
        <row r="325">
          <cell r="A325" t="str">
            <v>REFERÊNCIA:</v>
          </cell>
          <cell r="B325" t="str">
            <v>REFERÊNCIA:</v>
          </cell>
          <cell r="C325" t="str">
            <v>ED-49950 SETOP</v>
          </cell>
        </row>
        <row r="326">
          <cell r="A326" t="str">
            <v>CPU 33</v>
          </cell>
          <cell r="B326" t="str">
            <v>CPU 33</v>
          </cell>
          <cell r="C326" t="str">
            <v>CAIXA DE INSPEÇÃO 80X80</v>
          </cell>
          <cell r="D326" t="str">
            <v>UND</v>
          </cell>
          <cell r="F326" t="str">
            <v>OK</v>
          </cell>
        </row>
        <row r="327">
          <cell r="A327" t="str">
            <v>MÃO DE OBRA</v>
          </cell>
          <cell r="B327" t="str">
            <v>MÃO DE OBRA</v>
          </cell>
        </row>
        <row r="328">
          <cell r="A328">
            <v>88309</v>
          </cell>
          <cell r="B328">
            <v>88309</v>
          </cell>
          <cell r="C328" t="str">
            <v>PEDREIRO</v>
          </cell>
          <cell r="D328" t="str">
            <v>H</v>
          </cell>
          <cell r="E328">
            <v>9.2927999999999997</v>
          </cell>
        </row>
        <row r="329">
          <cell r="A329">
            <v>88316</v>
          </cell>
          <cell r="B329">
            <v>88316</v>
          </cell>
          <cell r="C329" t="str">
            <v>SERVENTE COM ENCARGOS COMPLEMENTARES</v>
          </cell>
          <cell r="D329" t="str">
            <v>H</v>
          </cell>
          <cell r="E329">
            <v>28.16</v>
          </cell>
        </row>
        <row r="330">
          <cell r="A330">
            <v>0</v>
          </cell>
        </row>
        <row r="331">
          <cell r="A331" t="str">
            <v>INSUMOS</v>
          </cell>
          <cell r="B331" t="str">
            <v>INSUMOS</v>
          </cell>
        </row>
        <row r="332">
          <cell r="A332">
            <v>43055</v>
          </cell>
          <cell r="B332">
            <v>43055</v>
          </cell>
          <cell r="C332" t="str">
            <v>ACO CA-50, 12,5 MM OU 16,0 MM, VERGALHAO</v>
          </cell>
          <cell r="D332" t="str">
            <v>KG</v>
          </cell>
          <cell r="E332">
            <v>6.4</v>
          </cell>
        </row>
        <row r="333">
          <cell r="A333">
            <v>370</v>
          </cell>
          <cell r="B333">
            <v>370</v>
          </cell>
          <cell r="C333" t="str">
            <v>AREIA MEDIA - POSTO JAZIDA/FORNECEDOR (RETIRADO NA JAZIDA, SEM TRANSPORTE)</v>
          </cell>
          <cell r="D333" t="str">
            <v>M3</v>
          </cell>
          <cell r="E333">
            <v>0.64</v>
          </cell>
        </row>
        <row r="334">
          <cell r="A334">
            <v>1379</v>
          </cell>
          <cell r="B334">
            <v>1379</v>
          </cell>
          <cell r="C334" t="str">
            <v>CIMENTO PORTLAND COMPOSTO CP II-32</v>
          </cell>
          <cell r="D334" t="str">
            <v>KG</v>
          </cell>
          <cell r="E334">
            <v>4.5568</v>
          </cell>
        </row>
        <row r="335">
          <cell r="A335">
            <v>4721</v>
          </cell>
          <cell r="B335">
            <v>4721</v>
          </cell>
          <cell r="C335" t="str">
            <v>PEDRA BRITADA N. 1 (9,5 a 19 MM) POSTO PEDREIRA/FORNECEDOR, SEM FRETE</v>
          </cell>
          <cell r="D335" t="str">
            <v>M3</v>
          </cell>
          <cell r="E335">
            <v>0.33279999999999998</v>
          </cell>
        </row>
        <row r="336">
          <cell r="A336">
            <v>97737</v>
          </cell>
          <cell r="B336">
            <v>97737</v>
          </cell>
          <cell r="C336" t="str">
            <v>PEÇA RETANGULAR PRÉ-MOLDADA, VOLUME DE CONCRETO DE 30 A 70 LITROS , TAXA DE AÇO APROXIMADA DE 70KG/M³. AF_03/2024</v>
          </cell>
          <cell r="D336" t="str">
            <v>M3</v>
          </cell>
          <cell r="E336">
            <v>6.4000000000000001E-2</v>
          </cell>
        </row>
        <row r="337">
          <cell r="A337">
            <v>7271</v>
          </cell>
          <cell r="B337">
            <v>7271</v>
          </cell>
          <cell r="C337" t="str">
            <v>BLOCO CERAMICO / TIJOLO VAZADO PARA ALVENARIA DE VEDACAO, 8 FUROS NA HORIZONTAL DE 9 X 19 X 19 CM (L X A X C)</v>
          </cell>
          <cell r="D337" t="str">
            <v>UN</v>
          </cell>
          <cell r="E337">
            <v>70.91</v>
          </cell>
        </row>
        <row r="338">
          <cell r="A338" t="str">
            <v>REFERÊNCIA:</v>
          </cell>
          <cell r="B338" t="str">
            <v>REFERÊNCIA:</v>
          </cell>
          <cell r="C338" t="str">
            <v>72289/SINAPI SET 2015</v>
          </cell>
        </row>
        <row r="339">
          <cell r="A339" t="str">
            <v>CPU 34</v>
          </cell>
          <cell r="B339" t="str">
            <v>CPU 34</v>
          </cell>
          <cell r="C339" t="str">
            <v>CAIXA DE INSPEÇÃO DE ESGOTO SIFONADA - CES- 80X80 CM</v>
          </cell>
          <cell r="D339" t="str">
            <v>UND</v>
          </cell>
          <cell r="F339" t="str">
            <v>OK</v>
          </cell>
        </row>
        <row r="340">
          <cell r="A340" t="str">
            <v>MÃO DE OBRA</v>
          </cell>
          <cell r="B340" t="str">
            <v>MÃO DE OBRA</v>
          </cell>
        </row>
        <row r="341">
          <cell r="A341">
            <v>88262</v>
          </cell>
          <cell r="B341">
            <v>88262</v>
          </cell>
          <cell r="C341" t="str">
            <v>CARPINTEIRO DE FORMAS COM ENCARGOS COMPLEMENTARES</v>
          </cell>
          <cell r="D341" t="str">
            <v>H</v>
          </cell>
          <cell r="E341">
            <v>1.43</v>
          </cell>
        </row>
        <row r="342">
          <cell r="A342">
            <v>101395</v>
          </cell>
          <cell r="B342">
            <v>101395</v>
          </cell>
          <cell r="C342" t="str">
            <v>CARPINTEIRO AUXILIAR COM ENCARGOS COMPLEMENTARES</v>
          </cell>
          <cell r="D342" t="str">
            <v>H</v>
          </cell>
          <cell r="E342">
            <v>1.43</v>
          </cell>
        </row>
        <row r="343">
          <cell r="A343">
            <v>101445</v>
          </cell>
          <cell r="B343">
            <v>101445</v>
          </cell>
          <cell r="C343" t="str">
            <v>PEDREIRO  COM ENCARGOS</v>
          </cell>
          <cell r="D343" t="str">
            <v>H</v>
          </cell>
          <cell r="E343">
            <v>12.17</v>
          </cell>
        </row>
        <row r="344">
          <cell r="A344">
            <v>101452</v>
          </cell>
          <cell r="B344">
            <v>101452</v>
          </cell>
          <cell r="C344" t="str">
            <v>SERVENTE COM ENCARGOS</v>
          </cell>
          <cell r="D344" t="str">
            <v>H</v>
          </cell>
          <cell r="E344">
            <v>21.8</v>
          </cell>
        </row>
        <row r="345">
          <cell r="A345">
            <v>0</v>
          </cell>
        </row>
        <row r="346">
          <cell r="A346" t="str">
            <v>INSUMOS</v>
          </cell>
          <cell r="B346" t="str">
            <v>INSUMOS</v>
          </cell>
        </row>
        <row r="347">
          <cell r="A347">
            <v>370</v>
          </cell>
          <cell r="B347">
            <v>370</v>
          </cell>
          <cell r="C347" t="str">
            <v>AREIA</v>
          </cell>
          <cell r="D347" t="str">
            <v>M3</v>
          </cell>
          <cell r="E347">
            <v>0.33</v>
          </cell>
        </row>
        <row r="348">
          <cell r="A348">
            <v>1106</v>
          </cell>
          <cell r="B348">
            <v>1106</v>
          </cell>
          <cell r="C348" t="str">
            <v>CAL HIDRATADO</v>
          </cell>
          <cell r="D348" t="str">
            <v>KG</v>
          </cell>
          <cell r="E348">
            <v>29.69</v>
          </cell>
        </row>
        <row r="349">
          <cell r="A349" t="str">
            <v>00001379</v>
          </cell>
          <cell r="B349" t="str">
            <v>00001379</v>
          </cell>
          <cell r="C349" t="str">
            <v>CIMENTO</v>
          </cell>
          <cell r="D349" t="str">
            <v>KG</v>
          </cell>
          <cell r="E349">
            <v>111.99</v>
          </cell>
        </row>
        <row r="350">
          <cell r="A350">
            <v>4720</v>
          </cell>
          <cell r="B350">
            <v>4720</v>
          </cell>
          <cell r="C350" t="str">
            <v>PEDRA BRITADA</v>
          </cell>
          <cell r="D350" t="str">
            <v>M3</v>
          </cell>
          <cell r="E350">
            <v>0.16</v>
          </cell>
        </row>
        <row r="351">
          <cell r="A351">
            <v>4512</v>
          </cell>
          <cell r="B351">
            <v>4512</v>
          </cell>
          <cell r="C351" t="str">
            <v>SARRAFO BRUTO 5X2,5CM G1-C2</v>
          </cell>
          <cell r="D351" t="str">
            <v>M</v>
          </cell>
          <cell r="E351">
            <v>2.6</v>
          </cell>
        </row>
        <row r="352">
          <cell r="A352">
            <v>6212</v>
          </cell>
          <cell r="B352">
            <v>6212</v>
          </cell>
          <cell r="C352" t="str">
            <v>TABUA 30X2,5CM G1-C2</v>
          </cell>
          <cell r="D352" t="str">
            <v>M2</v>
          </cell>
          <cell r="E352">
            <v>0.65</v>
          </cell>
        </row>
        <row r="353">
          <cell r="A353">
            <v>43060</v>
          </cell>
          <cell r="B353">
            <v>43060</v>
          </cell>
          <cell r="C353" t="str">
            <v>ACO CA-50-A $MD BITOLAS</v>
          </cell>
          <cell r="D353" t="str">
            <v>KG</v>
          </cell>
          <cell r="E353">
            <v>1.8</v>
          </cell>
        </row>
        <row r="354">
          <cell r="A354">
            <v>7271</v>
          </cell>
          <cell r="B354">
            <v>7271</v>
          </cell>
          <cell r="C354" t="str">
            <v>TIJOLO COMUM MACICO</v>
          </cell>
          <cell r="D354" t="str">
            <v>UND</v>
          </cell>
          <cell r="E354">
            <v>308</v>
          </cell>
        </row>
        <row r="355">
          <cell r="A355">
            <v>123</v>
          </cell>
          <cell r="B355">
            <v>123</v>
          </cell>
          <cell r="C355" t="str">
            <v>IMPERMEABILIZANTE PEGA NORMAL P/ ARGAM E CONCRETO</v>
          </cell>
          <cell r="D355" t="str">
            <v>KG</v>
          </cell>
          <cell r="E355">
            <v>1.35</v>
          </cell>
        </row>
        <row r="356">
          <cell r="A356">
            <v>5065</v>
          </cell>
          <cell r="B356">
            <v>5065</v>
          </cell>
          <cell r="C356" t="str">
            <v>PREGO</v>
          </cell>
          <cell r="D356" t="str">
            <v>KG</v>
          </cell>
          <cell r="E356">
            <v>0.26</v>
          </cell>
        </row>
        <row r="357">
          <cell r="A357">
            <v>43132</v>
          </cell>
          <cell r="B357">
            <v>43132</v>
          </cell>
          <cell r="C357" t="str">
            <v>ARAME RECOZIDO N.18</v>
          </cell>
          <cell r="D357" t="str">
            <v>KG</v>
          </cell>
          <cell r="E357">
            <v>3.5999999999999997E-2</v>
          </cell>
        </row>
        <row r="358">
          <cell r="A358" t="str">
            <v>REFERÊNCIA:</v>
          </cell>
          <cell r="B358" t="str">
            <v>REFERÊNCIA:</v>
          </cell>
          <cell r="C358" t="str">
            <v>16.08.026 FDE</v>
          </cell>
        </row>
        <row r="359">
          <cell r="A359" t="str">
            <v>CPU 35</v>
          </cell>
          <cell r="B359" t="str">
            <v>CPU 35</v>
          </cell>
          <cell r="C359" t="str">
            <v>AQUISIÇÃO E INSTALAÇÃO DO CAVALETE DE ACIONAMENTO DAS BOMBAS DE INCÊNDIO CONFORME PLANTA DE DETALHAMENTO</v>
          </cell>
          <cell r="D359" t="str">
            <v>UND</v>
          </cell>
          <cell r="F359" t="str">
            <v>95671 SINAPI</v>
          </cell>
        </row>
        <row r="360">
          <cell r="A360" t="str">
            <v>CPU MÃO DE OBRA</v>
          </cell>
          <cell r="B360" t="str">
            <v>MÃO DE OBRA</v>
          </cell>
        </row>
        <row r="361">
          <cell r="A361" t="str">
            <v>CPU 88248</v>
          </cell>
          <cell r="B361">
            <v>88248</v>
          </cell>
          <cell r="C361" t="str">
            <v>AUXILIAR DE ENCANADOR OU BOMBEIRO HIDRÁULICO COM ENCARGOS COMPLEMENTARES</v>
          </cell>
          <cell r="D361" t="str">
            <v>H</v>
          </cell>
          <cell r="E361">
            <v>7.35</v>
          </cell>
        </row>
        <row r="362">
          <cell r="A362" t="str">
            <v>CPU 88267</v>
          </cell>
          <cell r="B362">
            <v>88267</v>
          </cell>
          <cell r="C362" t="str">
            <v>ENCANADOR OU BOMBEIRO HIDRÁULICO COM ENCARGOS COMPLEMENTARES</v>
          </cell>
          <cell r="D362" t="str">
            <v>H</v>
          </cell>
          <cell r="E362">
            <v>7.35</v>
          </cell>
        </row>
        <row r="363">
          <cell r="A363" t="str">
            <v>CPU 104091</v>
          </cell>
          <cell r="B363">
            <v>104091</v>
          </cell>
          <cell r="C363" t="str">
            <v>TERMOFUSORA PARA TUBOS E CONEXÕES EM PPR COM DIÂMETROS DE 20 A 63 MM, POTÊNCIA DE 800 W, TENSAO 220 V - CHP DIURNO. AF_05/2022</v>
          </cell>
          <cell r="D363" t="str">
            <v>CHP</v>
          </cell>
          <cell r="E363">
            <v>5.03</v>
          </cell>
        </row>
        <row r="364">
          <cell r="A364" t="str">
            <v>CPU 104092</v>
          </cell>
          <cell r="B364">
            <v>104092</v>
          </cell>
          <cell r="C364" t="str">
            <v>TERMOFUSORA PARA TUBOS E CONEXÕES EM PPR COM DIÂMETROS DE 20 A 63 MM, POTÊNCIA DE 800 W, TENSAO 220 V - CHI DIURNO. AF_05/2022</v>
          </cell>
          <cell r="D364" t="str">
            <v>CHI</v>
          </cell>
          <cell r="E364">
            <v>2.31</v>
          </cell>
          <cell r="F364" t="str">
            <v>IGUAL A COMPOSIÇÃO</v>
          </cell>
        </row>
        <row r="365">
          <cell r="A365" t="str">
            <v>CPU INSUMOS</v>
          </cell>
          <cell r="B365" t="str">
            <v>INSUMOS</v>
          </cell>
        </row>
        <row r="366">
          <cell r="A366" t="str">
            <v>CPU 00044177</v>
          </cell>
          <cell r="B366" t="str">
            <v>00044177</v>
          </cell>
          <cell r="C366" t="str">
            <v>BUCHA DE REDUCAO, PPR, DN 50 X 32 MM, PARA AGUA QUENTE E FRIA PREDIAL</v>
          </cell>
          <cell r="D366" t="str">
            <v>UND</v>
          </cell>
          <cell r="E366">
            <v>3</v>
          </cell>
        </row>
        <row r="367">
          <cell r="A367" t="str">
            <v>CPU 	00044174</v>
          </cell>
          <cell r="B367" t="str">
            <v>00044174</v>
          </cell>
          <cell r="C367" t="str">
            <v>CONECTOR / ADAPTADOR F/M, COM INSERTO METALICO, PPR, DN 32 MM X 1", PARA AGUA QUENTE E FRIA PREDIAL</v>
          </cell>
          <cell r="D367" t="str">
            <v>UND</v>
          </cell>
          <cell r="E367">
            <v>6</v>
          </cell>
        </row>
        <row r="368">
          <cell r="A368" t="str">
            <v>CPU 38982</v>
          </cell>
          <cell r="B368">
            <v>38982</v>
          </cell>
          <cell r="C368" t="str">
            <v>TUBO PPR, CLASSE PN 25, DN 50 MM, PARA AGUA QUENTE E FRIA PREDIAL</v>
          </cell>
          <cell r="D368" t="str">
            <v>M</v>
          </cell>
          <cell r="E368">
            <v>1.17</v>
          </cell>
        </row>
        <row r="369">
          <cell r="A369" t="str">
            <v>CPU 38980</v>
          </cell>
          <cell r="B369">
            <v>38980</v>
          </cell>
          <cell r="C369" t="str">
            <v>TUBO PPR, CLASSE PN 25, DN 32 MM, PARA AGUA QUENTE E FRIA PREDIAL</v>
          </cell>
          <cell r="D369" t="str">
            <v>M</v>
          </cell>
          <cell r="E369">
            <v>9.1999999999999993</v>
          </cell>
        </row>
        <row r="370">
          <cell r="A370" t="str">
            <v>CPU 38458</v>
          </cell>
          <cell r="B370">
            <v>38458</v>
          </cell>
          <cell r="C370" t="str">
            <v>TE NORMAL, PPR, F/F/F, SOLDAVEL, 90 GRAUS, DN 50 X 50 X 50 MM, PARA AGUA QUENTE PREDIAL</v>
          </cell>
          <cell r="D370" t="str">
            <v>UND</v>
          </cell>
          <cell r="E370">
            <v>2</v>
          </cell>
        </row>
        <row r="371">
          <cell r="A371" t="str">
            <v>CPU 38436</v>
          </cell>
          <cell r="B371">
            <v>38436</v>
          </cell>
          <cell r="C371" t="str">
            <v>JOELHO PPR, 90 GRAUS, SOLDAVEL, F/F, DN 50 MM, PARA AGUA QUENTE PREDIAL</v>
          </cell>
          <cell r="D371" t="str">
            <v>UND</v>
          </cell>
          <cell r="E371">
            <v>2</v>
          </cell>
        </row>
        <row r="372">
          <cell r="A372" t="str">
            <v>CPU 38434</v>
          </cell>
          <cell r="B372">
            <v>38434</v>
          </cell>
          <cell r="C372" t="str">
            <v>JOELHO PPR, 90 GRAUS, SOLDAVEL, F/F, DN 32 MM, PARA AGUA QUENTE PREDIAL</v>
          </cell>
          <cell r="D372" t="str">
            <v>UND</v>
          </cell>
          <cell r="E372">
            <v>6</v>
          </cell>
        </row>
        <row r="373">
          <cell r="A373" t="str">
            <v>CPU 	00006019</v>
          </cell>
          <cell r="B373" t="str">
            <v>00006019</v>
          </cell>
          <cell r="C373" t="str">
            <v>REGISTRO GAVETA BRUTO EM LATAO FORJADO, BITOLA 1" (REF 1509)</v>
          </cell>
          <cell r="D373" t="str">
            <v>UND</v>
          </cell>
          <cell r="E373">
            <v>3</v>
          </cell>
        </row>
        <row r="374">
          <cell r="A374" t="str">
            <v>CPU 3148</v>
          </cell>
          <cell r="B374">
            <v>3148</v>
          </cell>
          <cell r="C374" t="str">
            <v>FITA VEDA ROSCA EM ROLOS DE 18 MM X 50 M (L X C)</v>
          </cell>
          <cell r="D374" t="str">
            <v>UND</v>
          </cell>
          <cell r="E374">
            <v>0.05</v>
          </cell>
        </row>
        <row r="375">
          <cell r="A375" t="str">
            <v>CPU</v>
          </cell>
        </row>
        <row r="376">
          <cell r="A376" t="str">
            <v>CPU REFERÊNCIA:</v>
          </cell>
          <cell r="B376" t="str">
            <v>REFERÊNCIA:</v>
          </cell>
          <cell r="C376" t="str">
            <v>95671 SINAPI</v>
          </cell>
        </row>
        <row r="377">
          <cell r="A377" t="str">
            <v>CPU 36</v>
          </cell>
          <cell r="B377">
            <v>36</v>
          </cell>
          <cell r="C377" t="str">
            <v>BLOCOS AUTÔNOMOS DE ACLARAMENTO COM 750 LM, 18W E AUTONOMIA DE 2H;</v>
          </cell>
          <cell r="D377" t="str">
            <v>UND</v>
          </cell>
          <cell r="F377" t="str">
            <v>OK</v>
          </cell>
        </row>
        <row r="378">
          <cell r="A378" t="str">
            <v>CPU MÃO DE OBRA</v>
          </cell>
          <cell r="B378" t="str">
            <v>MÃO DE OBRA</v>
          </cell>
        </row>
        <row r="379">
          <cell r="A379" t="str">
            <v>CPU 88247</v>
          </cell>
          <cell r="B379">
            <v>88247</v>
          </cell>
          <cell r="C379" t="str">
            <v>AUXILIAR DE ELETRICISTA COM ENCARGOS COMPLEMENTARES</v>
          </cell>
          <cell r="D379" t="str">
            <v>H</v>
          </cell>
          <cell r="E379">
            <v>0.97</v>
          </cell>
        </row>
        <row r="380">
          <cell r="A380" t="str">
            <v>CPU 88264</v>
          </cell>
          <cell r="B380">
            <v>88264</v>
          </cell>
          <cell r="C380" t="str">
            <v>ELETRICISTA COM ENCARGOS COMPLEMENTARES</v>
          </cell>
          <cell r="D380" t="str">
            <v>H[</v>
          </cell>
          <cell r="E380">
            <v>1.1599999999999999</v>
          </cell>
        </row>
        <row r="381">
          <cell r="A381" t="str">
            <v>CPU</v>
          </cell>
        </row>
        <row r="382">
          <cell r="A382" t="str">
            <v>CPU INSUMOS</v>
          </cell>
          <cell r="B382" t="str">
            <v>INSUMOS</v>
          </cell>
        </row>
        <row r="383">
          <cell r="A383" t="str">
            <v>CPU COT</v>
          </cell>
          <cell r="B383" t="str">
            <v>COT</v>
          </cell>
          <cell r="C383" t="str">
            <v>BLOCOS AUTÔNOMOS DE ACLARAMENTO COM 750 LM, 18W E AUTONOMIA DE 2H;</v>
          </cell>
          <cell r="D383" t="str">
            <v>UND</v>
          </cell>
          <cell r="E383">
            <v>1</v>
          </cell>
        </row>
        <row r="384">
          <cell r="A384" t="str">
            <v>CPU</v>
          </cell>
        </row>
        <row r="385">
          <cell r="A385" t="str">
            <v>CPU</v>
          </cell>
        </row>
        <row r="386">
          <cell r="A386" t="str">
            <v>CPU REFERÊNCIA:</v>
          </cell>
          <cell r="B386" t="str">
            <v>REFERÊNCIA:</v>
          </cell>
          <cell r="C386" t="str">
            <v>060871 SBC</v>
          </cell>
        </row>
        <row r="387">
          <cell r="A387" t="str">
            <v>CPU 37</v>
          </cell>
          <cell r="B387">
            <v>37</v>
          </cell>
          <cell r="C387" t="str">
            <v>BUCHA DE ALUMÍNIO - 1.1/2"</v>
          </cell>
          <cell r="D387" t="str">
            <v>UND</v>
          </cell>
          <cell r="F387" t="str">
            <v>OK</v>
          </cell>
        </row>
        <row r="388">
          <cell r="A388" t="str">
            <v>CPU MÃO DE OBRA</v>
          </cell>
          <cell r="B388" t="str">
            <v>MÃO DE OBRA</v>
          </cell>
        </row>
        <row r="389">
          <cell r="A389" t="str">
            <v>CPU 88247</v>
          </cell>
          <cell r="B389">
            <v>88247</v>
          </cell>
          <cell r="C389" t="str">
            <v>AUXILIAR DE ELETRICISTA COM ENCARGOS COMPLEMENTARES</v>
          </cell>
          <cell r="D389" t="str">
            <v>H</v>
          </cell>
          <cell r="E389">
            <v>0.01</v>
          </cell>
        </row>
        <row r="390">
          <cell r="A390" t="str">
            <v>CPU 88264</v>
          </cell>
          <cell r="B390">
            <v>88264</v>
          </cell>
          <cell r="C390" t="str">
            <v>ELETRICISTA COM ENCARGOS COMPLEMENTARES</v>
          </cell>
          <cell r="D390" t="str">
            <v>H</v>
          </cell>
          <cell r="E390">
            <v>0.02</v>
          </cell>
        </row>
        <row r="391">
          <cell r="A391" t="str">
            <v>CPU</v>
          </cell>
        </row>
        <row r="392">
          <cell r="A392" t="str">
            <v>CPU INSUMOS</v>
          </cell>
          <cell r="B392" t="str">
            <v>INSUMOS</v>
          </cell>
        </row>
        <row r="393">
          <cell r="A393" t="str">
            <v>CPU COT</v>
          </cell>
          <cell r="B393" t="str">
            <v>COT</v>
          </cell>
          <cell r="C393" t="str">
            <v>BUCHA DE ALUMÍNIO - 1.1/2"</v>
          </cell>
          <cell r="D393" t="str">
            <v>UND</v>
          </cell>
          <cell r="E393">
            <v>1</v>
          </cell>
        </row>
        <row r="394">
          <cell r="A394" t="str">
            <v>CPU</v>
          </cell>
        </row>
        <row r="395">
          <cell r="A395" t="str">
            <v>CPU</v>
          </cell>
        </row>
        <row r="396">
          <cell r="A396" t="str">
            <v>CPU REFERÊNCIA:</v>
          </cell>
          <cell r="B396" t="str">
            <v>REFERÊNCIA:</v>
          </cell>
          <cell r="C396" t="str">
            <v>171306 - SEDOP</v>
          </cell>
        </row>
        <row r="397">
          <cell r="A397" t="str">
            <v>CPU 38</v>
          </cell>
          <cell r="B397">
            <v>38</v>
          </cell>
          <cell r="C397" t="str">
            <v>BLOCOS AUTÔNOMOS DE ACLARAMENTO COM 750 LM, 18W E AUTONOMIA DE 2H;</v>
          </cell>
          <cell r="D397" t="str">
            <v>UND</v>
          </cell>
          <cell r="F397" t="str">
            <v>OK</v>
          </cell>
        </row>
        <row r="398">
          <cell r="A398" t="str">
            <v>CPU MÃO DE OBRA</v>
          </cell>
          <cell r="B398" t="str">
            <v>MÃO DE OBRA</v>
          </cell>
        </row>
        <row r="399">
          <cell r="A399" t="str">
            <v>CPU</v>
          </cell>
        </row>
        <row r="400">
          <cell r="A400" t="str">
            <v>CPU</v>
          </cell>
        </row>
        <row r="401">
          <cell r="A401" t="str">
            <v>CPU</v>
          </cell>
        </row>
        <row r="402">
          <cell r="A402" t="str">
            <v>CPU INSUMOS</v>
          </cell>
          <cell r="B402" t="str">
            <v>INSUMOS</v>
          </cell>
        </row>
        <row r="403">
          <cell r="A403" t="str">
            <v>CPU COT</v>
          </cell>
          <cell r="B403" t="str">
            <v>COT</v>
          </cell>
          <cell r="C403" t="str">
            <v>BLOCOS AUTÔNOMOS DE ACLARAMENTO COM 750 LM, 18W E AUTONOMIA DE 2H;</v>
          </cell>
          <cell r="D403" t="str">
            <v>UND</v>
          </cell>
          <cell r="E403">
            <v>1</v>
          </cell>
        </row>
        <row r="404">
          <cell r="A404" t="str">
            <v>CPU</v>
          </cell>
        </row>
        <row r="405">
          <cell r="A405" t="str">
            <v>CPU</v>
          </cell>
        </row>
        <row r="406">
          <cell r="A406" t="str">
            <v>CPU REFERÊNCIA:</v>
          </cell>
          <cell r="B406" t="str">
            <v>REFERÊNCIA:</v>
          </cell>
          <cell r="C406" t="str">
            <v>070390 - AGETOP</v>
          </cell>
        </row>
        <row r="407">
          <cell r="A407" t="str">
            <v>CPU 39</v>
          </cell>
          <cell r="B407">
            <v>39</v>
          </cell>
          <cell r="C407" t="str">
            <v>BUCHA DE NYLON - S6</v>
          </cell>
          <cell r="D407" t="str">
            <v>UND</v>
          </cell>
          <cell r="F407" t="str">
            <v>OK</v>
          </cell>
        </row>
        <row r="408">
          <cell r="A408" t="str">
            <v>CPU MÃO DE OBRA</v>
          </cell>
          <cell r="B408" t="str">
            <v>MÃO DE OBRA</v>
          </cell>
        </row>
        <row r="409">
          <cell r="A409" t="str">
            <v>CPU 88247</v>
          </cell>
          <cell r="B409">
            <v>88247</v>
          </cell>
          <cell r="C409" t="str">
            <v>AUXILIAR DE ELETRICISTA COM ENCARGOS COMPLEMENTARES</v>
          </cell>
          <cell r="D409" t="str">
            <v>H</v>
          </cell>
          <cell r="E409">
            <v>0.25</v>
          </cell>
        </row>
        <row r="410">
          <cell r="A410" t="str">
            <v>CPU 88264</v>
          </cell>
          <cell r="B410">
            <v>88264</v>
          </cell>
          <cell r="C410" t="str">
            <v>ELETRICISTA COM ENCARGOS COMPLEMENTARES</v>
          </cell>
          <cell r="D410" t="str">
            <v>H</v>
          </cell>
          <cell r="E410">
            <v>0.36</v>
          </cell>
        </row>
        <row r="411">
          <cell r="A411" t="str">
            <v>CPU</v>
          </cell>
        </row>
        <row r="412">
          <cell r="A412" t="str">
            <v>CPU INSUMOS</v>
          </cell>
          <cell r="B412" t="str">
            <v>INSUMOS</v>
          </cell>
        </row>
        <row r="413">
          <cell r="A413" t="str">
            <v>CPU COT</v>
          </cell>
          <cell r="B413" t="str">
            <v>COT</v>
          </cell>
          <cell r="C413" t="str">
            <v>BUCHA DE NYLON - S6</v>
          </cell>
          <cell r="D413" t="str">
            <v>UND</v>
          </cell>
          <cell r="E413">
            <v>1</v>
          </cell>
        </row>
        <row r="414">
          <cell r="A414" t="str">
            <v>CPU</v>
          </cell>
        </row>
        <row r="415">
          <cell r="A415" t="str">
            <v>CPU</v>
          </cell>
        </row>
        <row r="416">
          <cell r="A416" t="str">
            <v>CPU REFERÊNCIA:</v>
          </cell>
          <cell r="B416" t="str">
            <v>REFERÊNCIA:</v>
          </cell>
          <cell r="C416" t="str">
            <v>070391 - AGETOP</v>
          </cell>
        </row>
        <row r="417">
          <cell r="A417" t="str">
            <v>CPU 40</v>
          </cell>
          <cell r="B417">
            <v>40</v>
          </cell>
          <cell r="C417" t="str">
            <v>BUCHA NYLON - S8</v>
          </cell>
          <cell r="F417" t="str">
            <v>NÃO</v>
          </cell>
        </row>
        <row r="418">
          <cell r="A418" t="str">
            <v>CPU MÃO DE OBRA</v>
          </cell>
          <cell r="B418" t="str">
            <v>MÃO DE OBRA</v>
          </cell>
        </row>
        <row r="419">
          <cell r="A419" t="str">
            <v>CPU 88247</v>
          </cell>
          <cell r="B419">
            <v>88247</v>
          </cell>
          <cell r="C419" t="str">
            <v>AUXILIAR DE ELETRICISTA COM ENCARGOS COMPLEMENTARES</v>
          </cell>
          <cell r="D419" t="str">
            <v>H</v>
          </cell>
          <cell r="E419">
            <v>0.25</v>
          </cell>
        </row>
        <row r="420">
          <cell r="A420" t="str">
            <v>CPU 88264</v>
          </cell>
          <cell r="B420">
            <v>88264</v>
          </cell>
          <cell r="C420" t="str">
            <v>ELETRICISTA COM ENCARGOS COMPLEMENTARES</v>
          </cell>
          <cell r="D420" t="str">
            <v>H</v>
          </cell>
          <cell r="E420">
            <v>0.36</v>
          </cell>
        </row>
        <row r="421">
          <cell r="A421" t="str">
            <v>CPU</v>
          </cell>
        </row>
        <row r="422">
          <cell r="A422" t="str">
            <v>CPU INSUMOS</v>
          </cell>
          <cell r="B422" t="str">
            <v>INSUMOS</v>
          </cell>
        </row>
        <row r="423">
          <cell r="A423" t="str">
            <v>CPU COT</v>
          </cell>
          <cell r="B423" t="str">
            <v>COT</v>
          </cell>
          <cell r="C423" t="str">
            <v>BUCHA NYLON - S8</v>
          </cell>
          <cell r="D423" t="str">
            <v>UND</v>
          </cell>
          <cell r="E423">
            <v>1</v>
          </cell>
        </row>
        <row r="424">
          <cell r="A424" t="str">
            <v>CPU</v>
          </cell>
        </row>
        <row r="425">
          <cell r="A425" t="str">
            <v>CPU</v>
          </cell>
        </row>
        <row r="426">
          <cell r="A426" t="str">
            <v>CPU REFERÊNCIA:</v>
          </cell>
          <cell r="B426" t="str">
            <v>REFERÊNCIA:</v>
          </cell>
          <cell r="C426" t="str">
            <v>070392 - AGETOP</v>
          </cell>
        </row>
        <row r="427">
          <cell r="A427" t="str">
            <v>CPU 41</v>
          </cell>
          <cell r="B427">
            <v>41</v>
          </cell>
          <cell r="C427" t="str">
            <v>CABIDE, ACABAMENTO CROMADO, LINHA IZY, , FAB: DECA, OU EQUIVALENTE TÉCNICO</v>
          </cell>
          <cell r="D427" t="str">
            <v>UND</v>
          </cell>
          <cell r="F427" t="str">
            <v>OK</v>
          </cell>
        </row>
        <row r="428">
          <cell r="A428" t="str">
            <v>CPU MÃO DE OBRA</v>
          </cell>
          <cell r="B428" t="str">
            <v>MÃO DE OBRA</v>
          </cell>
        </row>
        <row r="429">
          <cell r="A429" t="str">
            <v>CPU 88309</v>
          </cell>
          <cell r="B429">
            <v>88309</v>
          </cell>
          <cell r="C429" t="str">
            <v>PEDREIRO</v>
          </cell>
          <cell r="D429" t="str">
            <v>H</v>
          </cell>
          <cell r="E429">
            <v>0.7</v>
          </cell>
        </row>
        <row r="430">
          <cell r="A430" t="str">
            <v>CPU</v>
          </cell>
        </row>
        <row r="431">
          <cell r="A431" t="str">
            <v>CPU</v>
          </cell>
        </row>
        <row r="432">
          <cell r="A432" t="str">
            <v>CPU INSUMOS</v>
          </cell>
          <cell r="B432" t="str">
            <v>INSUMOS</v>
          </cell>
        </row>
        <row r="433">
          <cell r="A433" t="str">
            <v>CPU COT</v>
          </cell>
          <cell r="B433" t="str">
            <v>COT</v>
          </cell>
          <cell r="C433" t="str">
            <v>CABIDE, ACABAMENTO CROMADO, LINHA IZY, , FAB: DECA, OU EQUIVALENTE TÉCNICO</v>
          </cell>
          <cell r="D433" t="str">
            <v>UND</v>
          </cell>
          <cell r="E433">
            <v>1</v>
          </cell>
        </row>
        <row r="434">
          <cell r="A434" t="str">
            <v>CPU</v>
          </cell>
        </row>
        <row r="435">
          <cell r="A435" t="str">
            <v>CPU</v>
          </cell>
        </row>
        <row r="436">
          <cell r="A436" t="str">
            <v>CPU REFERÊNCIA:</v>
          </cell>
          <cell r="B436" t="str">
            <v>REFERÊNCIA:</v>
          </cell>
          <cell r="C436" t="str">
            <v>3708 - ORSE</v>
          </cell>
        </row>
        <row r="437">
          <cell r="A437" t="str">
            <v>CPU 42</v>
          </cell>
          <cell r="B437">
            <v>42</v>
          </cell>
          <cell r="C437" t="str">
            <v>CABO AEREO COBRE XLPE 15KV 16,00MM2</v>
          </cell>
          <cell r="D437" t="str">
            <v>M</v>
          </cell>
          <cell r="F437" t="str">
            <v>OK</v>
          </cell>
        </row>
        <row r="438">
          <cell r="A438" t="str">
            <v>CPU MÃO DE OBRA</v>
          </cell>
          <cell r="B438" t="str">
            <v>MÃO DE OBRA</v>
          </cell>
        </row>
        <row r="439">
          <cell r="A439" t="str">
            <v>CPU 88247</v>
          </cell>
          <cell r="B439">
            <v>88247</v>
          </cell>
          <cell r="C439" t="str">
            <v>AUXILIAR DE ELETRICISTA COM ENCARGOS COMPLEMENTARES</v>
          </cell>
          <cell r="D439" t="str">
            <v>H</v>
          </cell>
          <cell r="E439">
            <v>0.2</v>
          </cell>
        </row>
        <row r="440">
          <cell r="A440" t="str">
            <v>CPU 88264</v>
          </cell>
          <cell r="B440">
            <v>88264</v>
          </cell>
          <cell r="C440" t="str">
            <v>ELETRICISTA COM ENCARGOS COMPLEMENTARES</v>
          </cell>
          <cell r="D440" t="str">
            <v>H</v>
          </cell>
          <cell r="E440">
            <v>0.2</v>
          </cell>
        </row>
        <row r="441">
          <cell r="A441" t="str">
            <v>CPU</v>
          </cell>
        </row>
        <row r="442">
          <cell r="A442" t="str">
            <v>CPU INSUMOS</v>
          </cell>
          <cell r="B442" t="str">
            <v>INSUMOS</v>
          </cell>
        </row>
        <row r="443">
          <cell r="A443" t="str">
            <v>CPU COT</v>
          </cell>
          <cell r="B443" t="str">
            <v>COT</v>
          </cell>
          <cell r="C443" t="str">
            <v>CABO AEREO COBRE XLPE 15KV 16,00MM2</v>
          </cell>
          <cell r="D443" t="str">
            <v>M</v>
          </cell>
          <cell r="E443">
            <v>1</v>
          </cell>
        </row>
        <row r="444">
          <cell r="A444" t="str">
            <v>CPU</v>
          </cell>
        </row>
        <row r="445">
          <cell r="A445" t="str">
            <v>CPU</v>
          </cell>
        </row>
        <row r="446">
          <cell r="A446" t="str">
            <v>CPU REFERÊNCIA:</v>
          </cell>
          <cell r="B446" t="str">
            <v>REFERÊNCIA:</v>
          </cell>
          <cell r="C446" t="str">
            <v>063310 - SBC</v>
          </cell>
        </row>
        <row r="447">
          <cell r="A447" t="str">
            <v>CPU 43</v>
          </cell>
          <cell r="B447">
            <v>43</v>
          </cell>
          <cell r="C447" t="str">
            <v>CAIXA DE INSPEÇÃO DE ATERRAMENTO EM PVC Ø250MM COM TAMPA EM FERRO FUNDIDO, REFORÇADA</v>
          </cell>
          <cell r="F447" t="str">
            <v>OK</v>
          </cell>
        </row>
        <row r="448">
          <cell r="A448" t="str">
            <v>CPU MÃO DE OBRA</v>
          </cell>
          <cell r="B448" t="str">
            <v>MÃO DE OBRA</v>
          </cell>
        </row>
        <row r="449">
          <cell r="A449" t="str">
            <v>CPU 88247</v>
          </cell>
          <cell r="B449">
            <v>88247</v>
          </cell>
          <cell r="C449" t="str">
            <v>AUXILIAR DE ELETRICISTA COM ENCARGOS COMPLEMENTARES</v>
          </cell>
          <cell r="D449" t="str">
            <v>H</v>
          </cell>
          <cell r="E449">
            <v>0.2</v>
          </cell>
        </row>
        <row r="450">
          <cell r="A450" t="str">
            <v>CPU 88264</v>
          </cell>
          <cell r="B450">
            <v>88264</v>
          </cell>
          <cell r="C450" t="str">
            <v>ELETRICISTA COM ENCARGOS COMPLEMENTARES</v>
          </cell>
          <cell r="D450" t="str">
            <v>H</v>
          </cell>
          <cell r="E450">
            <v>0.2</v>
          </cell>
        </row>
        <row r="451">
          <cell r="A451" t="str">
            <v>CPU</v>
          </cell>
        </row>
        <row r="452">
          <cell r="A452" t="str">
            <v>CPU INSUMOS</v>
          </cell>
          <cell r="B452" t="str">
            <v>INSUMOS</v>
          </cell>
        </row>
        <row r="453">
          <cell r="A453" t="str">
            <v>CPU 4720</v>
          </cell>
          <cell r="B453">
            <v>4720</v>
          </cell>
          <cell r="C453" t="str">
            <v>BRITA 0 - (GRAVILHAO/PEDRISCO), EXCLUSIVE FRETE</v>
          </cell>
          <cell r="D453" t="str">
            <v>M3</v>
          </cell>
          <cell r="E453">
            <v>2.5000000000000001E-3</v>
          </cell>
        </row>
        <row r="454">
          <cell r="A454" t="str">
            <v>CPU 41480</v>
          </cell>
          <cell r="B454">
            <v>41480</v>
          </cell>
          <cell r="C454" t="str">
            <v>CAIXA DE INSPEÇÃO EM PVC, COM TAMPA, PARA ATERRAMENTO D=25CM, H=25CM</v>
          </cell>
          <cell r="D454" t="str">
            <v>UND</v>
          </cell>
          <cell r="E454">
            <v>1</v>
          </cell>
        </row>
        <row r="455">
          <cell r="A455" t="str">
            <v>CPU</v>
          </cell>
          <cell r="C455" t="str">
            <v>BOTA FORA SOLO (CARGA E DESCARGA/ MOM.TRANSPORTE 12.5 KM/ ESPALHAMENTO)</v>
          </cell>
          <cell r="D455" t="str">
            <v>M3</v>
          </cell>
          <cell r="E455">
            <v>1.4E-2</v>
          </cell>
        </row>
        <row r="456">
          <cell r="A456" t="str">
            <v>CPU 93358</v>
          </cell>
          <cell r="B456">
            <v>93358</v>
          </cell>
          <cell r="C456" t="str">
            <v>ESCAV. MANUAL DE POCOS E CAVAS DE FUNDACAO EM SOLO DE 1a CAT. EXECUTADA C/ PROFUND. ATE 1,50m</v>
          </cell>
          <cell r="D456" t="str">
            <v>M3</v>
          </cell>
          <cell r="E456">
            <v>1.4E-2</v>
          </cell>
        </row>
        <row r="457">
          <cell r="A457" t="str">
            <v>CPU</v>
          </cell>
        </row>
        <row r="458">
          <cell r="A458" t="str">
            <v>CPU REFERÊNCIA:</v>
          </cell>
          <cell r="B458" t="str">
            <v>REFERÊNCIA:</v>
          </cell>
          <cell r="C458" t="str">
            <v>60.12.30 - EMBASA</v>
          </cell>
        </row>
        <row r="459">
          <cell r="A459" t="str">
            <v>CPU 44</v>
          </cell>
          <cell r="B459">
            <v>44</v>
          </cell>
          <cell r="C459" t="str">
            <v>CAIXA DE MEDIÇÃO TIPO A1 (100 X 100 X 30 CM)</v>
          </cell>
          <cell r="F459" t="str">
            <v>OK</v>
          </cell>
        </row>
        <row r="460">
          <cell r="A460" t="str">
            <v>CPU MÃO DE OBRA</v>
          </cell>
          <cell r="B460" t="str">
            <v>MÃO DE OBRA</v>
          </cell>
        </row>
        <row r="461">
          <cell r="A461" t="str">
            <v>CPU 88247</v>
          </cell>
          <cell r="B461">
            <v>88247</v>
          </cell>
          <cell r="C461" t="str">
            <v>AUXILIAR DE ELETRICISTA COM ENCARGOS COMPLEMENTARES</v>
          </cell>
          <cell r="D461" t="str">
            <v>H</v>
          </cell>
          <cell r="E461">
            <v>2.5</v>
          </cell>
        </row>
        <row r="462">
          <cell r="A462" t="str">
            <v>CPU 88264</v>
          </cell>
          <cell r="B462">
            <v>88264</v>
          </cell>
          <cell r="C462" t="str">
            <v>ELETRICISTA COM ENCARGOS COMPLEMENTARES</v>
          </cell>
          <cell r="D462" t="str">
            <v>H</v>
          </cell>
          <cell r="E462">
            <v>5</v>
          </cell>
        </row>
        <row r="463">
          <cell r="A463" t="str">
            <v>CPU 34761</v>
          </cell>
          <cell r="B463">
            <v>34761</v>
          </cell>
          <cell r="C463" t="str">
            <v>MONTADOR ELETROTECNICO</v>
          </cell>
          <cell r="D463" t="str">
            <v>H</v>
          </cell>
          <cell r="E463">
            <v>0.5</v>
          </cell>
        </row>
        <row r="464">
          <cell r="A464" t="str">
            <v>CPU INSUMOS</v>
          </cell>
          <cell r="B464" t="str">
            <v>INSUMOS</v>
          </cell>
        </row>
        <row r="465">
          <cell r="A465" t="str">
            <v>CPU COT</v>
          </cell>
          <cell r="B465" t="str">
            <v>COT</v>
          </cell>
          <cell r="C465" t="str">
            <v>CAIXA DE MEDIÇÃO TIPO A1 (100 X 100 X 30 CM)</v>
          </cell>
          <cell r="D465" t="str">
            <v>UND</v>
          </cell>
          <cell r="E465">
            <v>1</v>
          </cell>
        </row>
        <row r="466">
          <cell r="A466" t="str">
            <v>CPU</v>
          </cell>
        </row>
        <row r="467">
          <cell r="A467" t="str">
            <v>CPU</v>
          </cell>
        </row>
        <row r="468">
          <cell r="A468" t="str">
            <v>CPU REFERÊNCIA:</v>
          </cell>
          <cell r="B468" t="str">
            <v>REFERÊNCIA:</v>
          </cell>
          <cell r="C468" t="str">
            <v>36.03.090 - CPOS</v>
          </cell>
        </row>
        <row r="469">
          <cell r="A469" t="str">
            <v>CPU 45</v>
          </cell>
          <cell r="B469">
            <v>45</v>
          </cell>
          <cell r="C469" t="str">
            <v>CAIXA DE PASSAGEM - AÇO PINTADA (REF LUKBOX) - 200X200X100 MM</v>
          </cell>
          <cell r="F469" t="str">
            <v>OK</v>
          </cell>
        </row>
        <row r="470">
          <cell r="A470" t="str">
            <v>CPU MÃO DE OBRA</v>
          </cell>
          <cell r="B470" t="str">
            <v>MÃO DE OBRA</v>
          </cell>
        </row>
        <row r="471">
          <cell r="A471" t="str">
            <v>CPU 88247</v>
          </cell>
          <cell r="B471">
            <v>88247</v>
          </cell>
          <cell r="C471" t="str">
            <v>AUXILIAR DE ELETRICISTA COM ENCARGOS COMPLEMENTARES</v>
          </cell>
          <cell r="D471" t="str">
            <v>H</v>
          </cell>
          <cell r="E471">
            <v>0.82499999999999996</v>
          </cell>
        </row>
        <row r="472">
          <cell r="A472" t="str">
            <v>CPU 88264</v>
          </cell>
          <cell r="B472">
            <v>88264</v>
          </cell>
          <cell r="C472" t="str">
            <v>ELETRICISTA COM ENCARGOS COMPLEMENTARES</v>
          </cell>
          <cell r="D472" t="str">
            <v>H</v>
          </cell>
          <cell r="E472">
            <v>0.82499999999999996</v>
          </cell>
        </row>
        <row r="473">
          <cell r="A473" t="str">
            <v>CPU</v>
          </cell>
        </row>
        <row r="474">
          <cell r="A474" t="str">
            <v>CPU INSUMOS</v>
          </cell>
          <cell r="B474" t="str">
            <v>INSUMOS</v>
          </cell>
        </row>
        <row r="475">
          <cell r="A475" t="str">
            <v>CPU COT</v>
          </cell>
          <cell r="B475" t="str">
            <v>COT</v>
          </cell>
          <cell r="C475" t="str">
            <v>CAIXA DE PASSAGEM - AÇO PINTADA (REF LUKBOX) - 200X200X100 MM</v>
          </cell>
          <cell r="D475" t="str">
            <v>UND</v>
          </cell>
          <cell r="E475">
            <v>1</v>
          </cell>
        </row>
        <row r="476">
          <cell r="A476" t="str">
            <v>CPU</v>
          </cell>
        </row>
        <row r="477">
          <cell r="A477" t="str">
            <v>CPU</v>
          </cell>
        </row>
        <row r="478">
          <cell r="A478" t="str">
            <v>CPU REFERÊNCIA:</v>
          </cell>
          <cell r="B478" t="str">
            <v>REFERÊNCIA:</v>
          </cell>
          <cell r="C478" t="str">
            <v>068209 - SBC</v>
          </cell>
        </row>
        <row r="479">
          <cell r="A479" t="str">
            <v>CPU 46</v>
          </cell>
          <cell r="B479">
            <v>46</v>
          </cell>
          <cell r="C479" t="str">
            <v>CAIXA DE PASSAGEM - AÇO PINTADA (REF LUKBOX) - 300X300X120 MM</v>
          </cell>
          <cell r="F479" t="str">
            <v>OK</v>
          </cell>
        </row>
        <row r="480">
          <cell r="A480" t="str">
            <v>CPU MÃO DE OBRA</v>
          </cell>
          <cell r="B480" t="str">
            <v>MÃO DE OBRA</v>
          </cell>
        </row>
        <row r="481">
          <cell r="A481" t="str">
            <v>CPU 88247</v>
          </cell>
          <cell r="B481">
            <v>88247</v>
          </cell>
          <cell r="C481" t="str">
            <v>AUXILIAR DE ELETRICISTA COM ENCARGOS COMPLEMENTARES</v>
          </cell>
          <cell r="D481" t="str">
            <v>H</v>
          </cell>
          <cell r="E481">
            <v>0.86099999999999999</v>
          </cell>
        </row>
        <row r="482">
          <cell r="A482" t="str">
            <v>CPU 88264</v>
          </cell>
          <cell r="B482">
            <v>88264</v>
          </cell>
          <cell r="C482" t="str">
            <v>ELETRICISTA COM ENCARGOS COMPLEMENTARES</v>
          </cell>
          <cell r="D482" t="str">
            <v>H</v>
          </cell>
          <cell r="E482">
            <v>0.86099999999999999</v>
          </cell>
        </row>
        <row r="483">
          <cell r="A483" t="str">
            <v>CPU</v>
          </cell>
        </row>
        <row r="484">
          <cell r="A484" t="str">
            <v>CPU INSUMOS</v>
          </cell>
          <cell r="B484" t="str">
            <v>INSUMOS</v>
          </cell>
        </row>
        <row r="485">
          <cell r="A485" t="str">
            <v>CPU COT</v>
          </cell>
          <cell r="B485" t="str">
            <v>COT</v>
          </cell>
          <cell r="C485" t="str">
            <v>CAIXA DE PASSAGEM - AÇO PINTADA (REF LUKBOX) - 300X300X120 MM</v>
          </cell>
          <cell r="D485" t="str">
            <v>UND</v>
          </cell>
          <cell r="E485">
            <v>1</v>
          </cell>
        </row>
        <row r="486">
          <cell r="A486" t="str">
            <v>CPU</v>
          </cell>
        </row>
        <row r="487">
          <cell r="A487" t="str">
            <v>CPU</v>
          </cell>
        </row>
        <row r="488">
          <cell r="A488" t="str">
            <v>CPU REFERÊNCIA:</v>
          </cell>
          <cell r="B488" t="str">
            <v>REFERÊNCIA:</v>
          </cell>
          <cell r="C488" t="str">
            <v>068270 - SBC</v>
          </cell>
        </row>
        <row r="489">
          <cell r="A489" t="str">
            <v>CPU 47</v>
          </cell>
          <cell r="B489">
            <v>47</v>
          </cell>
          <cell r="C489" t="str">
            <v>CAIXA DE PASSAGEM - ALVENARIA - 300X300X300MM</v>
          </cell>
          <cell r="F489" t="str">
            <v>OK</v>
          </cell>
        </row>
        <row r="490">
          <cell r="A490" t="str">
            <v>CPU MÃO DE OBRA</v>
          </cell>
          <cell r="B490" t="str">
            <v>MÃO DE OBRA</v>
          </cell>
        </row>
        <row r="491">
          <cell r="A491" t="str">
            <v>CPU 88309</v>
          </cell>
          <cell r="B491">
            <v>88309</v>
          </cell>
          <cell r="C491" t="str">
            <v>PEDREIRO</v>
          </cell>
          <cell r="D491" t="str">
            <v>H</v>
          </cell>
          <cell r="E491">
            <v>3.2</v>
          </cell>
        </row>
        <row r="492">
          <cell r="A492" t="str">
            <v>CPU 88316</v>
          </cell>
          <cell r="B492">
            <v>88316</v>
          </cell>
          <cell r="C492" t="str">
            <v>SERVENTE COM ENCARGOS COMPLEMENTARES</v>
          </cell>
          <cell r="D492" t="str">
            <v>H</v>
          </cell>
          <cell r="E492">
            <v>3.8</v>
          </cell>
        </row>
        <row r="493">
          <cell r="A493" t="str">
            <v>CPU</v>
          </cell>
        </row>
        <row r="494">
          <cell r="A494" t="str">
            <v>CPU INSUMOS</v>
          </cell>
          <cell r="B494" t="str">
            <v>INSUMOS</v>
          </cell>
        </row>
        <row r="495">
          <cell r="A495" t="str">
            <v>CPU 37595</v>
          </cell>
          <cell r="B495">
            <v>37595</v>
          </cell>
          <cell r="C495" t="str">
            <v>ARGAMASSA PREFABRICADA PARA ASSENT.TIJOLOS 12,8kg/m2</v>
          </cell>
          <cell r="D495" t="str">
            <v>KG</v>
          </cell>
          <cell r="E495">
            <v>15.3</v>
          </cell>
        </row>
        <row r="496">
          <cell r="A496" t="str">
            <v>CPU 36886</v>
          </cell>
          <cell r="B496">
            <v>36886</v>
          </cell>
          <cell r="C496" t="str">
            <v>ARGAMASSA PREFABRICADA PARA CONTRAPISO MATRIX VOTORANTIN (12,80 kg/m2xcm)</v>
          </cell>
          <cell r="D496" t="str">
            <v>KG</v>
          </cell>
          <cell r="E496">
            <v>20.48</v>
          </cell>
        </row>
        <row r="497">
          <cell r="A497" t="str">
            <v>CPU 7271</v>
          </cell>
          <cell r="B497">
            <v>7271</v>
          </cell>
          <cell r="C497" t="str">
            <v>TIJOLO CERAMICO MACICO RECOSIDO 6,0 x 9 x 19cm (UNIDADE)</v>
          </cell>
          <cell r="D497" t="str">
            <v>UND</v>
          </cell>
          <cell r="E497">
            <v>88</v>
          </cell>
        </row>
        <row r="498">
          <cell r="A498" t="str">
            <v>CPU REFERÊNCIA:</v>
          </cell>
          <cell r="B498" t="str">
            <v>REFERÊNCIA:</v>
          </cell>
          <cell r="C498" t="str">
            <v>055782 - SBC</v>
          </cell>
        </row>
        <row r="499">
          <cell r="A499" t="str">
            <v>CPU 48</v>
          </cell>
          <cell r="B499">
            <v>48</v>
          </cell>
          <cell r="C499" t="str">
            <v>CAIXA DE PASSAGEM - ALVENARIA - 400X400X400MM</v>
          </cell>
          <cell r="F499" t="str">
            <v>OK</v>
          </cell>
        </row>
        <row r="500">
          <cell r="A500" t="str">
            <v>CPU MÃO DE OBRA</v>
          </cell>
          <cell r="B500" t="str">
            <v>MÃO DE OBRA</v>
          </cell>
        </row>
        <row r="501">
          <cell r="A501" t="str">
            <v>CPU 88309</v>
          </cell>
          <cell r="B501">
            <v>88309</v>
          </cell>
          <cell r="C501" t="str">
            <v>PEDREIRO</v>
          </cell>
          <cell r="D501" t="str">
            <v>H</v>
          </cell>
          <cell r="E501">
            <v>3</v>
          </cell>
        </row>
        <row r="502">
          <cell r="A502" t="str">
            <v>CPU 88316</v>
          </cell>
          <cell r="B502">
            <v>88316</v>
          </cell>
          <cell r="C502" t="str">
            <v>SERVENTE COM ENCARGOS COMPLEMENTARES</v>
          </cell>
          <cell r="D502" t="str">
            <v>H</v>
          </cell>
          <cell r="E502">
            <v>3</v>
          </cell>
        </row>
        <row r="503">
          <cell r="A503" t="str">
            <v>CPU 101394</v>
          </cell>
          <cell r="B503">
            <v>101394</v>
          </cell>
          <cell r="C503" t="str">
            <v>CARPINTEIRO</v>
          </cell>
          <cell r="D503" t="str">
            <v>h</v>
          </cell>
          <cell r="E503">
            <v>0.5</v>
          </cell>
        </row>
        <row r="504">
          <cell r="A504" t="str">
            <v>CPU 102487</v>
          </cell>
          <cell r="B504">
            <v>102487</v>
          </cell>
          <cell r="C504" t="str">
            <v>Materiais para confeccao de concreto estrutural dosado para uma resistencia caracteristica a compressao (fck) minimo de 15MPa, inclusive perdas. Fornecimento.</v>
          </cell>
          <cell r="D504" t="str">
            <v>m3</v>
          </cell>
          <cell r="E504">
            <v>0.02</v>
          </cell>
        </row>
        <row r="505">
          <cell r="A505" t="str">
            <v>CPU 102487</v>
          </cell>
          <cell r="B505">
            <v>102487</v>
          </cell>
          <cell r="C505" t="str">
            <v>Materiais para confeccao de concreto estrutural dosado para uma resistencia caracteristica a compressao (fck) minimo de 11MPa, inclusive perdas. Fornecimento.</v>
          </cell>
          <cell r="D505" t="str">
            <v>m3</v>
          </cell>
          <cell r="E505">
            <v>0.03</v>
          </cell>
        </row>
        <row r="506">
          <cell r="A506" t="str">
            <v>CPU 88630</v>
          </cell>
          <cell r="B506">
            <v>88630</v>
          </cell>
          <cell r="C506" t="str">
            <v>Argamassa de cimento e areia, no traco 1:4.</v>
          </cell>
          <cell r="D506" t="str">
            <v>m3</v>
          </cell>
          <cell r="E506">
            <v>0.05</v>
          </cell>
        </row>
        <row r="507">
          <cell r="A507" t="str">
            <v>CPU INSUMOS</v>
          </cell>
          <cell r="B507" t="str">
            <v>INSUMOS</v>
          </cell>
        </row>
        <row r="508">
          <cell r="A508" t="str">
            <v>CPU 7271</v>
          </cell>
          <cell r="B508">
            <v>7271</v>
          </cell>
          <cell r="C508" t="str">
            <v>Tijolo macico, de (5,5x9,5x19,5)cm</v>
          </cell>
          <cell r="D508" t="str">
            <v>und</v>
          </cell>
          <cell r="E508">
            <v>95</v>
          </cell>
        </row>
        <row r="509">
          <cell r="A509" t="str">
            <v>CPU 5061</v>
          </cell>
          <cell r="B509">
            <v>5061</v>
          </cell>
          <cell r="C509" t="str">
            <v>Prego com cabeca, de (18x30)</v>
          </cell>
          <cell r="D509" t="str">
            <v>kg</v>
          </cell>
          <cell r="E509">
            <v>0.05</v>
          </cell>
        </row>
        <row r="510">
          <cell r="A510" t="str">
            <v>CPU 6212</v>
          </cell>
          <cell r="B510">
            <v>6212</v>
          </cell>
          <cell r="C510" t="str">
            <v>Peca de madeira serrada, secao (2,5cm x 30cm / 1" x 12") - grupo II da Tabela Classificatoria de Especificacoes de Produtos Madeireiros</v>
          </cell>
          <cell r="D510" t="str">
            <v>m</v>
          </cell>
          <cell r="E510">
            <v>1</v>
          </cell>
        </row>
        <row r="511">
          <cell r="A511" t="str">
            <v>CPU 34449</v>
          </cell>
          <cell r="B511">
            <v>34449</v>
          </cell>
          <cell r="C511" t="str">
            <v>Aco CA-25, liso, de: 1/4"</v>
          </cell>
          <cell r="D511" t="str">
            <v>kg</v>
          </cell>
          <cell r="E511">
            <v>2.4</v>
          </cell>
        </row>
        <row r="512">
          <cell r="A512" t="str">
            <v>CPU REFERÊNCIA:</v>
          </cell>
          <cell r="B512" t="str">
            <v>REFERÊNCIA:</v>
          </cell>
          <cell r="C512" t="str">
            <v>DR 30.05.0050 - SCO</v>
          </cell>
        </row>
        <row r="513">
          <cell r="A513" t="str">
            <v>CPU 49</v>
          </cell>
          <cell r="B513">
            <v>49</v>
          </cell>
          <cell r="C513" t="str">
            <v>CAIXA DE PASSAGEM - ALVENARIA - TAMPA 300X300X50MM</v>
          </cell>
          <cell r="F513" t="str">
            <v>OK</v>
          </cell>
        </row>
        <row r="514">
          <cell r="A514" t="str">
            <v>CPU MÃO DE OBRA</v>
          </cell>
          <cell r="B514" t="str">
            <v>MÃO DE OBRA</v>
          </cell>
        </row>
        <row r="515">
          <cell r="A515" t="str">
            <v>CPU 88309</v>
          </cell>
          <cell r="B515">
            <v>88309</v>
          </cell>
          <cell r="C515" t="str">
            <v>PEDREIRO</v>
          </cell>
          <cell r="D515" t="str">
            <v>H</v>
          </cell>
          <cell r="E515">
            <v>0.88</v>
          </cell>
        </row>
        <row r="516">
          <cell r="A516" t="str">
            <v>CPU 88316</v>
          </cell>
          <cell r="B516">
            <v>88316</v>
          </cell>
          <cell r="C516" t="str">
            <v>SERVENTE COM ENCARGOS COMPLEMENTARES</v>
          </cell>
          <cell r="D516" t="str">
            <v>H</v>
          </cell>
          <cell r="E516">
            <v>2.0299999999999998</v>
          </cell>
        </row>
        <row r="517">
          <cell r="A517" t="str">
            <v>CPU 101394</v>
          </cell>
          <cell r="B517">
            <v>101394</v>
          </cell>
          <cell r="C517" t="str">
            <v>CARPINTEIRO</v>
          </cell>
          <cell r="D517" t="str">
            <v>h</v>
          </cell>
          <cell r="E517">
            <v>0.65</v>
          </cell>
        </row>
        <row r="518">
          <cell r="A518" t="str">
            <v>CPU 242</v>
          </cell>
          <cell r="B518">
            <v>242</v>
          </cell>
          <cell r="C518" t="str">
            <v>AJUDANTE ESPECIALIZADO</v>
          </cell>
          <cell r="D518" t="str">
            <v>H</v>
          </cell>
          <cell r="E518">
            <v>0.5</v>
          </cell>
        </row>
        <row r="519">
          <cell r="A519" t="str">
            <v>CPU INSUMOS</v>
          </cell>
          <cell r="B519" t="str">
            <v>INSUMOS</v>
          </cell>
        </row>
        <row r="520">
          <cell r="A520" t="str">
            <v>CPU 10535</v>
          </cell>
          <cell r="B520">
            <v>10535</v>
          </cell>
          <cell r="C520" t="str">
            <v>BETONEIRA CAPACIDADE NOMINAL 400L, CAPACIDADE DE MISTURA 280L, MOTOR ELETRICO TRIFASICO 220/380V POTENCIA 2CV, SEM CARREGADOR</v>
          </cell>
          <cell r="D520" t="str">
            <v>UND</v>
          </cell>
          <cell r="E520" t="str">
            <v>0,00000149</v>
          </cell>
        </row>
        <row r="521">
          <cell r="A521" t="str">
            <v>CPU 14250</v>
          </cell>
          <cell r="B521">
            <v>14250</v>
          </cell>
          <cell r="C521" t="str">
            <v>CONSUMO DE ENERGIA ELETRICA COMERCIAL, BAIXA TENSAO CONSUMO ATE 100KWH, INCLUIDO ICMS, PIS/PASEP E CONFINS</v>
          </cell>
          <cell r="D521" t="str">
            <v>KWH</v>
          </cell>
          <cell r="E521" t="str">
            <v>0,0135</v>
          </cell>
        </row>
        <row r="522">
          <cell r="A522" t="str">
            <v>CPU 2692</v>
          </cell>
          <cell r="B522">
            <v>2692</v>
          </cell>
          <cell r="C522" t="str">
            <v>DESMOLDANTE PARA FORMAS</v>
          </cell>
          <cell r="D522" t="str">
            <v>L</v>
          </cell>
          <cell r="E522">
            <v>3.5999999999999997E-2</v>
          </cell>
        </row>
        <row r="523">
          <cell r="A523" t="str">
            <v>CPU 5061</v>
          </cell>
          <cell r="B523">
            <v>5061</v>
          </cell>
          <cell r="C523" t="str">
            <v>PREGO 18X27</v>
          </cell>
          <cell r="D523" t="str">
            <v>KG</v>
          </cell>
          <cell r="E523">
            <v>1.35E-2</v>
          </cell>
        </row>
        <row r="524">
          <cell r="A524" t="str">
            <v>CPU 7271</v>
          </cell>
          <cell r="B524">
            <v>7271</v>
          </cell>
          <cell r="C524" t="str">
            <v>BLOCO CERÂMICO 08 FUROS 09X19X19CM - PRAÇA VITÓRIA</v>
          </cell>
          <cell r="D524" t="str">
            <v>UND</v>
          </cell>
          <cell r="E524">
            <v>18</v>
          </cell>
        </row>
        <row r="525">
          <cell r="A525" t="str">
            <v>CPU 34449</v>
          </cell>
          <cell r="B525">
            <v>34449</v>
          </cell>
          <cell r="C525" t="str">
            <v>ACO CA-50 DE 6.3MM</v>
          </cell>
          <cell r="D525" t="str">
            <v>KG</v>
          </cell>
          <cell r="E525">
            <v>0.48</v>
          </cell>
        </row>
        <row r="526">
          <cell r="A526" t="str">
            <v>CPU 6212</v>
          </cell>
          <cell r="B526">
            <v>6212</v>
          </cell>
          <cell r="C526" t="str">
            <v>TABUA DE MADEIRA PINUS 30 X 2.5 CM (TAIPA DE 1ª)</v>
          </cell>
          <cell r="D526" t="str">
            <v>M2</v>
          </cell>
          <cell r="E526" t="str">
            <v>0,027</v>
          </cell>
        </row>
        <row r="527">
          <cell r="A527" t="str">
            <v>CPU 4509</v>
          </cell>
          <cell r="B527">
            <v>4509</v>
          </cell>
          <cell r="C527" t="str">
            <v>SARRAFO DE MADEIRA PINUS 10 X 2.5CM</v>
          </cell>
          <cell r="D527" t="str">
            <v>M</v>
          </cell>
          <cell r="E527" t="str">
            <v>0,045</v>
          </cell>
        </row>
        <row r="528">
          <cell r="A528" t="str">
            <v>CPU 4722</v>
          </cell>
          <cell r="B528">
            <v>4722</v>
          </cell>
          <cell r="C528" t="str">
            <v>BRITA 3</v>
          </cell>
          <cell r="D528" t="str">
            <v>M3</v>
          </cell>
          <cell r="E528">
            <v>1.0999999999999999E-2</v>
          </cell>
        </row>
        <row r="529">
          <cell r="A529" t="str">
            <v>CPU 4718</v>
          </cell>
          <cell r="B529">
            <v>4718</v>
          </cell>
          <cell r="C529" t="str">
            <v>BRITA 2</v>
          </cell>
          <cell r="D529" t="str">
            <v>M3</v>
          </cell>
          <cell r="E529" t="str">
            <v>0,0327</v>
          </cell>
        </row>
        <row r="530">
          <cell r="A530" t="str">
            <v>CPU 00004721</v>
          </cell>
          <cell r="B530" t="str">
            <v>00004721</v>
          </cell>
          <cell r="C530" t="str">
            <v>BRITA 1</v>
          </cell>
          <cell r="D530" t="str">
            <v>M3</v>
          </cell>
          <cell r="E530" t="str">
            <v>0,014</v>
          </cell>
        </row>
        <row r="531">
          <cell r="A531" t="str">
            <v>CPU 00001379</v>
          </cell>
          <cell r="B531" t="str">
            <v>00001379</v>
          </cell>
          <cell r="C531" t="str">
            <v>CIMENTO PORTLAND CP III - 40</v>
          </cell>
          <cell r="D531" t="str">
            <v>KG</v>
          </cell>
          <cell r="E531">
            <v>11.147919999999999</v>
          </cell>
        </row>
        <row r="532">
          <cell r="A532" t="str">
            <v>CPU 1106</v>
          </cell>
          <cell r="B532">
            <v>1106</v>
          </cell>
          <cell r="C532" t="str">
            <v>CAL HIDRATADO P/ ARGAMASSA CH III</v>
          </cell>
          <cell r="D532" t="str">
            <v>KG</v>
          </cell>
          <cell r="E532">
            <v>0.78036000000000005</v>
          </cell>
        </row>
        <row r="533">
          <cell r="A533" t="str">
            <v>CPU 366</v>
          </cell>
          <cell r="B533">
            <v>366</v>
          </cell>
          <cell r="C533" t="str">
            <v>AREIA LAVADA MEDIA</v>
          </cell>
          <cell r="D533" t="str">
            <v>M3</v>
          </cell>
          <cell r="E533" t="str">
            <v>0,044286</v>
          </cell>
        </row>
        <row r="534">
          <cell r="A534" t="str">
            <v>CPU</v>
          </cell>
        </row>
        <row r="535">
          <cell r="A535" t="str">
            <v>CPU REFERÊNCIA:</v>
          </cell>
          <cell r="B535" t="str">
            <v>REFERÊNCIA:</v>
          </cell>
          <cell r="C535" t="str">
            <v>151003 - IOPES</v>
          </cell>
        </row>
        <row r="536">
          <cell r="A536" t="str">
            <v>CPU 50</v>
          </cell>
          <cell r="B536">
            <v>50</v>
          </cell>
          <cell r="C536" t="str">
            <v>CAIXA DE PASSAGEM - ALVENARIA - TAMPA 400X400X50MM</v>
          </cell>
          <cell r="F536" t="str">
            <v>OK</v>
          </cell>
        </row>
        <row r="537">
          <cell r="A537" t="str">
            <v>CPU MÃO DE OBRA</v>
          </cell>
          <cell r="B537" t="str">
            <v>MÃO DE OBRA</v>
          </cell>
        </row>
        <row r="538">
          <cell r="A538" t="str">
            <v>CPU</v>
          </cell>
        </row>
        <row r="539">
          <cell r="A539" t="str">
            <v>CPU</v>
          </cell>
        </row>
        <row r="540">
          <cell r="A540" t="str">
            <v>CPU</v>
          </cell>
        </row>
        <row r="541">
          <cell r="A541" t="str">
            <v>CPU SERIÇOS</v>
          </cell>
          <cell r="B541" t="str">
            <v>SERIÇOS</v>
          </cell>
        </row>
        <row r="542">
          <cell r="A542" t="str">
            <v>CPU 87905</v>
          </cell>
          <cell r="B542">
            <v>87905</v>
          </cell>
          <cell r="C542" t="str">
            <v>Chapisco em parede com argamassa traço t1 - 1:3 (cimento / areia) - Revisado 08/2015</v>
          </cell>
          <cell r="D542" t="str">
            <v>M2</v>
          </cell>
          <cell r="E542">
            <v>0.96</v>
          </cell>
        </row>
        <row r="543">
          <cell r="A543" t="str">
            <v>CPU 93358</v>
          </cell>
          <cell r="B543">
            <v>93358</v>
          </cell>
          <cell r="C543" t="str">
            <v>Escavação manual de vala ou cava em material de 1ª categoria, profundidade até 1,50m</v>
          </cell>
          <cell r="D543" t="str">
            <v>M3</v>
          </cell>
          <cell r="E543">
            <v>0.25</v>
          </cell>
        </row>
        <row r="544">
          <cell r="A544" t="str">
            <v>CPU 7271</v>
          </cell>
          <cell r="B544">
            <v>7271</v>
          </cell>
          <cell r="C544" t="str">
            <v>Alvenaria tijolo cerâmico maciço (5x9x19), esp = 0,09m (singela), com argamassa traço t5 - 1:2:8 (cimento / cal / areia) c/ junta de 2,0cm - R</v>
          </cell>
          <cell r="D544" t="str">
            <v>M2</v>
          </cell>
          <cell r="E544">
            <v>1.2</v>
          </cell>
        </row>
        <row r="545">
          <cell r="A545" t="str">
            <v>CPU 43061</v>
          </cell>
          <cell r="B545">
            <v>43061</v>
          </cell>
          <cell r="C545" t="str">
            <v>Aço CA - 60 Ø 4,2 a 9,5mm, inclusive corte, dobragem, montagem e colocacao deferragens nas formas, para superestruturas e fundações - R1</v>
          </cell>
          <cell r="D545" t="str">
            <v>KG</v>
          </cell>
          <cell r="E545">
            <v>1.29</v>
          </cell>
        </row>
        <row r="546">
          <cell r="A546" t="str">
            <v>CPU 94975</v>
          </cell>
          <cell r="B546">
            <v>94975</v>
          </cell>
          <cell r="C546" t="str">
            <v>Concreto simples fabricado na obra, fck=15 mpa, lançado e adensado</v>
          </cell>
          <cell r="D546" t="str">
            <v>M3</v>
          </cell>
          <cell r="E546">
            <v>5.7000000000000002E-2</v>
          </cell>
        </row>
        <row r="547">
          <cell r="A547" t="str">
            <v>CPU</v>
          </cell>
          <cell r="C547" t="str">
            <v>Forma plana para fundações, em compensado resinado 12mm, 03 usos</v>
          </cell>
          <cell r="D547" t="str">
            <v>M2</v>
          </cell>
          <cell r="E547">
            <v>0.44</v>
          </cell>
        </row>
        <row r="548">
          <cell r="A548" t="str">
            <v>CPU 87827</v>
          </cell>
          <cell r="B548">
            <v>87827</v>
          </cell>
          <cell r="C548" t="str">
            <v>Reboco ou emboço externo, de parede, com argamassa traço t5 - 1:2:8 (cimento / cal / areia), espessura 2,0 cm</v>
          </cell>
          <cell r="D548" t="str">
            <v>M2</v>
          </cell>
          <cell r="E548">
            <v>0.96</v>
          </cell>
        </row>
        <row r="549">
          <cell r="A549" t="str">
            <v>CPU REFERÊNCIA:</v>
          </cell>
          <cell r="B549" t="str">
            <v>REFERÊNCIA:</v>
          </cell>
          <cell r="C549" t="str">
            <v>2794 - ORSE</v>
          </cell>
        </row>
        <row r="550">
          <cell r="A550" t="str">
            <v>CPU 51</v>
          </cell>
          <cell r="B550">
            <v>51</v>
          </cell>
          <cell r="C550" t="str">
            <v>CAIXA DE PASSAGEM - PVC (REF KRONA) - 25X20 MM</v>
          </cell>
          <cell r="F550" t="str">
            <v>OK</v>
          </cell>
        </row>
        <row r="551">
          <cell r="A551" t="str">
            <v>CPU MÃO DE OBRA</v>
          </cell>
          <cell r="B551" t="str">
            <v>MÃO DE OBRA</v>
          </cell>
        </row>
        <row r="552">
          <cell r="A552" t="str">
            <v>CPU 88264</v>
          </cell>
          <cell r="B552">
            <v>88264</v>
          </cell>
          <cell r="C552" t="str">
            <v>ELETRICISTA COM ENCARGOS COMPLEMENTARES</v>
          </cell>
          <cell r="D552" t="str">
            <v>H</v>
          </cell>
          <cell r="E552">
            <v>0.6</v>
          </cell>
        </row>
        <row r="553">
          <cell r="A553" t="str">
            <v>CPU 88316</v>
          </cell>
          <cell r="B553">
            <v>88316</v>
          </cell>
          <cell r="C553" t="str">
            <v>SERVENTE COM ENCARGOS COMPLEMENTARES</v>
          </cell>
          <cell r="D553" t="str">
            <v>H</v>
          </cell>
          <cell r="E553">
            <v>0.6</v>
          </cell>
        </row>
        <row r="554">
          <cell r="A554" t="str">
            <v>CPU</v>
          </cell>
        </row>
        <row r="555">
          <cell r="A555" t="str">
            <v>CPU INSUMOS</v>
          </cell>
          <cell r="B555" t="str">
            <v>INSUMOS</v>
          </cell>
        </row>
        <row r="556">
          <cell r="A556" t="str">
            <v>CPU COT</v>
          </cell>
          <cell r="B556" t="str">
            <v>COT</v>
          </cell>
          <cell r="C556" t="str">
            <v>CAIXA DE PASSAGEM - PVC (REF KRONA) - 25X20 MM</v>
          </cell>
          <cell r="D556" t="str">
            <v>UND</v>
          </cell>
          <cell r="E556">
            <v>1</v>
          </cell>
        </row>
        <row r="557">
          <cell r="A557" t="str">
            <v>CPU</v>
          </cell>
        </row>
        <row r="558">
          <cell r="A558" t="str">
            <v>CPU</v>
          </cell>
        </row>
        <row r="559">
          <cell r="A559" t="str">
            <v>CPU REFERÊNCIA:</v>
          </cell>
          <cell r="B559" t="str">
            <v>REFERÊNCIA:</v>
          </cell>
          <cell r="C559" t="str">
            <v>7872 - ORSE</v>
          </cell>
        </row>
        <row r="560">
          <cell r="A560" t="str">
            <v>CPU 52</v>
          </cell>
          <cell r="B560">
            <v>52</v>
          </cell>
          <cell r="C560" t="str">
            <v>CAIXA DE PASSAGEM EM ALVENARIA NO PISO, COM TAMPA EM FERRO FUNDIDO 60X60X60CM</v>
          </cell>
          <cell r="F560" t="str">
            <v>OK</v>
          </cell>
        </row>
        <row r="561">
          <cell r="A561" t="str">
            <v>CPU MÃO DE OBRA</v>
          </cell>
          <cell r="B561" t="str">
            <v>MÃO DE OBRA</v>
          </cell>
        </row>
        <row r="562">
          <cell r="A562" t="str">
            <v>CPU 7271</v>
          </cell>
          <cell r="B562">
            <v>7271</v>
          </cell>
          <cell r="C562" t="str">
            <v>Pintura asfaltica (uma demao com 200g/m2), para superficies lisas de marquizes, banheiros e demais superficies de pequenas dimensoes. Igol 2 ou similar. Fornecimento e aplicacao.(desonerado)</v>
          </cell>
          <cell r="D562" t="str">
            <v>M2</v>
          </cell>
          <cell r="E562">
            <v>2.0499999999999998</v>
          </cell>
        </row>
        <row r="563">
          <cell r="A563" t="str">
            <v>CPU 87800</v>
          </cell>
          <cell r="B563">
            <v>87800</v>
          </cell>
          <cell r="C563" t="str">
            <v>Emboco com argamassa de cimento e areia, no traco 1:3, com 1,50cm de espessura, inclusive chapisco.(desonerado)</v>
          </cell>
          <cell r="D563" t="str">
            <v>M2</v>
          </cell>
          <cell r="E563">
            <v>2.0499999999999998</v>
          </cell>
        </row>
        <row r="564">
          <cell r="A564" t="str">
            <v>CPU 102487</v>
          </cell>
          <cell r="B564">
            <v>102487</v>
          </cell>
          <cell r="C564" t="str">
            <v>CONCRETO CICLÓPICO FCK = 15MPA, 30% PEDRA DE MÃO EM VOLUME REAL, INCLUSIVE LANÇAMENTO. AF_05/2021</v>
          </cell>
          <cell r="D564" t="str">
            <v>M3</v>
          </cell>
          <cell r="E564">
            <v>1.1299999999999999</v>
          </cell>
        </row>
        <row r="565">
          <cell r="A565" t="str">
            <v>CPU 7271</v>
          </cell>
          <cell r="B565">
            <v>7271</v>
          </cell>
          <cell r="C565" t="str">
            <v>Alvenaria de tijolo (10x20x20)cm,de furos redondos, com argamassa de cimento e saibro no traco 1:8, em parede de meia vez (0,10m), de superficie corrida, ate 1,50m de altura, e medida pela area real.(desonerado)</v>
          </cell>
          <cell r="D565" t="str">
            <v>M2</v>
          </cell>
          <cell r="E565">
            <v>2.0499999999999998</v>
          </cell>
        </row>
        <row r="566">
          <cell r="A566" t="str">
            <v>CPU</v>
          </cell>
        </row>
        <row r="567">
          <cell r="A567" t="str">
            <v>CPU INSUMOS</v>
          </cell>
          <cell r="B567" t="str">
            <v>INSUMOS</v>
          </cell>
        </row>
        <row r="568">
          <cell r="A568" t="str">
            <v>CPU COT</v>
          </cell>
          <cell r="B568" t="str">
            <v>COT</v>
          </cell>
          <cell r="C568" t="str">
            <v>Tampao misto de ferro fundido, tipo leve, de 31kg, com diametro de 650mm</v>
          </cell>
          <cell r="D568" t="str">
            <v>UND</v>
          </cell>
          <cell r="E568">
            <v>1</v>
          </cell>
        </row>
        <row r="569">
          <cell r="A569" t="str">
            <v>CPU</v>
          </cell>
        </row>
        <row r="570">
          <cell r="A570" t="str">
            <v>CPU</v>
          </cell>
        </row>
        <row r="571">
          <cell r="A571" t="str">
            <v>CPU REFERÊNCIA:</v>
          </cell>
          <cell r="B571" t="str">
            <v>REFERÊNCIA:</v>
          </cell>
          <cell r="C571" t="str">
            <v>24.46.0153 - SCO</v>
          </cell>
        </row>
        <row r="572">
          <cell r="A572" t="str">
            <v>CPU 53</v>
          </cell>
          <cell r="B572">
            <v>53</v>
          </cell>
          <cell r="C572" t="str">
            <v>CAIXA DE PASSAGEM SOBREPOR - AÇO PINTADA 100X100X80</v>
          </cell>
          <cell r="F572" t="str">
            <v>OK</v>
          </cell>
        </row>
        <row r="573">
          <cell r="A573" t="str">
            <v>CPU MÃO DE OBRA</v>
          </cell>
          <cell r="B573" t="str">
            <v>MÃO DE OBRA</v>
          </cell>
        </row>
        <row r="574">
          <cell r="A574" t="str">
            <v>CPU 88247</v>
          </cell>
          <cell r="B574">
            <v>88247</v>
          </cell>
          <cell r="C574" t="str">
            <v>AUXILIAR DE ELETRICISTA COM ENCARGOS COMPLEMENTARES</v>
          </cell>
          <cell r="D574" t="str">
            <v>H</v>
          </cell>
          <cell r="E574">
            <v>0.4</v>
          </cell>
        </row>
        <row r="575">
          <cell r="A575" t="str">
            <v>CPU 88264</v>
          </cell>
          <cell r="B575">
            <v>88264</v>
          </cell>
          <cell r="C575" t="str">
            <v>ELETRICISTA COM ENCARGOS COMPLEMENTARES</v>
          </cell>
          <cell r="D575" t="str">
            <v>H</v>
          </cell>
          <cell r="E575">
            <v>0.4</v>
          </cell>
        </row>
        <row r="576">
          <cell r="A576" t="str">
            <v>CPU</v>
          </cell>
        </row>
        <row r="577">
          <cell r="A577" t="str">
            <v>CPU INSUMOS</v>
          </cell>
          <cell r="B577" t="str">
            <v>INSUMOS</v>
          </cell>
        </row>
        <row r="578">
          <cell r="A578" t="str">
            <v>CPU COT</v>
          </cell>
          <cell r="B578" t="str">
            <v>COT</v>
          </cell>
          <cell r="C578" t="str">
            <v>CAIXA DE PASSAGEM SOBREPOR - AÇO PINTADA 100X100X80</v>
          </cell>
          <cell r="D578" t="str">
            <v>UND</v>
          </cell>
          <cell r="E578">
            <v>1</v>
          </cell>
        </row>
        <row r="579">
          <cell r="A579" t="str">
            <v>CPU</v>
          </cell>
        </row>
        <row r="580">
          <cell r="A580" t="str">
            <v>CPU</v>
          </cell>
        </row>
        <row r="581">
          <cell r="A581" t="str">
            <v>CPU REFERÊNCIA:</v>
          </cell>
          <cell r="B581" t="str">
            <v>REFERÊNCIA:</v>
          </cell>
          <cell r="C581" t="str">
            <v>170323 - SEDOP</v>
          </cell>
        </row>
        <row r="582">
          <cell r="A582" t="str">
            <v>CPU 54</v>
          </cell>
          <cell r="B582">
            <v>54</v>
          </cell>
          <cell r="C582" t="str">
            <v>CAIXA DE PASSAGEM SOBREPOR - PVC 150X150*68</v>
          </cell>
          <cell r="F582" t="str">
            <v>OK</v>
          </cell>
        </row>
        <row r="583">
          <cell r="A583" t="str">
            <v>CPU MÃO DE OBRA</v>
          </cell>
          <cell r="B583" t="str">
            <v>MÃO DE OBRA</v>
          </cell>
        </row>
        <row r="584">
          <cell r="A584" t="str">
            <v>CPU 88247</v>
          </cell>
          <cell r="B584">
            <v>88247</v>
          </cell>
          <cell r="C584" t="str">
            <v>AUXILIAR DE ELETRICISTA COM ENCARGOS COMPLEMENTARES</v>
          </cell>
          <cell r="D584" t="str">
            <v>H</v>
          </cell>
          <cell r="E584">
            <v>0.4</v>
          </cell>
        </row>
        <row r="585">
          <cell r="A585" t="str">
            <v>CPU 88264</v>
          </cell>
          <cell r="B585">
            <v>88264</v>
          </cell>
          <cell r="C585" t="str">
            <v>ELETRICISTA COM ENCARGOS COMPLEMENTARES</v>
          </cell>
          <cell r="D585" t="str">
            <v>H</v>
          </cell>
          <cell r="E585">
            <v>0.4</v>
          </cell>
        </row>
        <row r="586">
          <cell r="A586" t="str">
            <v>CPU</v>
          </cell>
        </row>
        <row r="587">
          <cell r="A587" t="str">
            <v>CPU INSUMOS</v>
          </cell>
          <cell r="B587" t="str">
            <v>INSUMOS</v>
          </cell>
        </row>
        <row r="588">
          <cell r="A588" t="str">
            <v>CPU COT</v>
          </cell>
          <cell r="B588" t="str">
            <v>COT</v>
          </cell>
          <cell r="C588" t="str">
            <v>CAIXA DE PASSAGEM SOBREPOR - PVC 150X150*68</v>
          </cell>
          <cell r="D588" t="str">
            <v>UND</v>
          </cell>
          <cell r="E588">
            <v>1</v>
          </cell>
        </row>
        <row r="589">
          <cell r="A589" t="str">
            <v>CPU</v>
          </cell>
        </row>
        <row r="590">
          <cell r="A590" t="str">
            <v>CPU</v>
          </cell>
        </row>
        <row r="591">
          <cell r="A591" t="str">
            <v>CPU REFERÊNCIA:</v>
          </cell>
          <cell r="B591" t="str">
            <v>REFERÊNCIA:</v>
          </cell>
          <cell r="C591" t="str">
            <v>8896 - ORSE</v>
          </cell>
        </row>
        <row r="592">
          <cell r="A592" t="str">
            <v>CPU 55</v>
          </cell>
          <cell r="B592">
            <v>55</v>
          </cell>
          <cell r="C592" t="str">
            <v>CAIXA DE PASSAGEM SOBREPOR - PVC 250X323X74</v>
          </cell>
          <cell r="F592" t="str">
            <v>OK</v>
          </cell>
        </row>
        <row r="593">
          <cell r="A593" t="str">
            <v>CPU MÃO DE OBRA</v>
          </cell>
          <cell r="B593" t="str">
            <v>MÃO DE OBRA</v>
          </cell>
        </row>
        <row r="594">
          <cell r="A594" t="str">
            <v>CPU 88247</v>
          </cell>
          <cell r="B594">
            <v>88247</v>
          </cell>
          <cell r="C594" t="str">
            <v>AUXILIAR DE ELETRICISTA COM ENCARGOS COMPLEMENTARES</v>
          </cell>
          <cell r="D594" t="str">
            <v>H</v>
          </cell>
          <cell r="E594">
            <v>0.4</v>
          </cell>
        </row>
        <row r="595">
          <cell r="A595" t="str">
            <v>CPU 88264</v>
          </cell>
          <cell r="B595">
            <v>88264</v>
          </cell>
          <cell r="C595" t="str">
            <v>ELETRICISTA COM ENCARGOS COMPLEMENTARES</v>
          </cell>
          <cell r="D595" t="str">
            <v>H</v>
          </cell>
          <cell r="E595">
            <v>0.4</v>
          </cell>
        </row>
        <row r="596">
          <cell r="A596" t="str">
            <v>CPU</v>
          </cell>
        </row>
        <row r="597">
          <cell r="A597" t="str">
            <v>CPU INSUMOS</v>
          </cell>
          <cell r="B597" t="str">
            <v>INSUMOS</v>
          </cell>
        </row>
        <row r="598">
          <cell r="A598" t="str">
            <v>CPU COT</v>
          </cell>
          <cell r="B598" t="str">
            <v>COT</v>
          </cell>
          <cell r="C598" t="str">
            <v>CAIXA DE PASSAGEM SOBREPOR - PVC 250X323X74</v>
          </cell>
          <cell r="D598" t="str">
            <v>UND</v>
          </cell>
          <cell r="E598">
            <v>1</v>
          </cell>
        </row>
        <row r="599">
          <cell r="A599" t="str">
            <v>CPU</v>
          </cell>
        </row>
        <row r="600">
          <cell r="A600" t="str">
            <v>CPU</v>
          </cell>
        </row>
        <row r="601">
          <cell r="A601" t="str">
            <v>CPU REFERÊNCIA:</v>
          </cell>
          <cell r="B601" t="str">
            <v>REFERÊNCIA:</v>
          </cell>
          <cell r="C601" t="str">
            <v>8896 - ORSE</v>
          </cell>
        </row>
        <row r="602">
          <cell r="A602" t="str">
            <v>CPU 56</v>
          </cell>
          <cell r="B602">
            <v>56</v>
          </cell>
          <cell r="C602" t="str">
            <v>CAIXA DE INSPEÇÃO DE ATERRAMENTO EM PVC Ø250MM COM TAMPA EM FERRO FUNDIDO, REFORÇADA</v>
          </cell>
          <cell r="F602" t="str">
            <v>OK</v>
          </cell>
        </row>
        <row r="603">
          <cell r="A603" t="str">
            <v>CPU MÃO DE OBRA</v>
          </cell>
          <cell r="B603" t="str">
            <v>MÃO DE OBRA</v>
          </cell>
        </row>
        <row r="604">
          <cell r="A604" t="str">
            <v>CPU 88247</v>
          </cell>
          <cell r="B604">
            <v>88247</v>
          </cell>
          <cell r="C604" t="str">
            <v>AUXILIAR DE ELETRICISTA COM ENCARGOS COMPLEMENTARES</v>
          </cell>
          <cell r="D604" t="str">
            <v>H</v>
          </cell>
          <cell r="E604">
            <v>0.2</v>
          </cell>
        </row>
        <row r="605">
          <cell r="A605" t="str">
            <v>CPU 88264</v>
          </cell>
          <cell r="B605">
            <v>88264</v>
          </cell>
          <cell r="C605" t="str">
            <v>ELETRICISTA COM ENCARGOS COMPLEMENTARES</v>
          </cell>
          <cell r="D605" t="str">
            <v>H</v>
          </cell>
          <cell r="E605">
            <v>0.2</v>
          </cell>
        </row>
        <row r="606">
          <cell r="A606" t="str">
            <v>CPU</v>
          </cell>
          <cell r="C606" t="str">
            <v>BOTA FORA SOLO (CARGA E DESCARGA/ MOM.TRANSPORTE 12.5 KM/ ESPALHAMENTO)</v>
          </cell>
          <cell r="D606" t="str">
            <v>M3</v>
          </cell>
          <cell r="E606">
            <v>1.4E-2</v>
          </cell>
        </row>
        <row r="607">
          <cell r="A607" t="str">
            <v>CPU 93358</v>
          </cell>
          <cell r="B607">
            <v>93358</v>
          </cell>
          <cell r="C607" t="str">
            <v>ESCAV. MANUAL DE POCOS E CAVAS DE FUNDACAO EM SOLO DE 1a CAT. EXECUTADA C/ PROFUND. ATE 1,50m</v>
          </cell>
          <cell r="D607" t="str">
            <v>M3</v>
          </cell>
          <cell r="E607">
            <v>1.4E-2</v>
          </cell>
        </row>
        <row r="608">
          <cell r="A608" t="str">
            <v>CPU INSUMOS</v>
          </cell>
          <cell r="B608" t="str">
            <v>INSUMOS</v>
          </cell>
        </row>
        <row r="609">
          <cell r="A609" t="str">
            <v>CPU 4720</v>
          </cell>
          <cell r="B609">
            <v>4720</v>
          </cell>
          <cell r="C609" t="str">
            <v>BRITA 0 - (GRAVILHAO/PEDRISCO), EXCLUSIVE FRETE</v>
          </cell>
          <cell r="D609" t="str">
            <v>M3</v>
          </cell>
          <cell r="E609">
            <v>2.5000000000000001E-3</v>
          </cell>
        </row>
        <row r="610">
          <cell r="A610" t="str">
            <v>CPU COT</v>
          </cell>
          <cell r="B610" t="str">
            <v>COT</v>
          </cell>
          <cell r="C610" t="str">
            <v>CAIXA DE INSPEÇÃO EM PVC, COM TAMPA, PARA ATERRAMENTO D=25CM, H=25CM</v>
          </cell>
          <cell r="D610" t="str">
            <v>UND</v>
          </cell>
          <cell r="E610">
            <v>1</v>
          </cell>
        </row>
        <row r="611">
          <cell r="A611" t="str">
            <v>CPU</v>
          </cell>
        </row>
        <row r="612">
          <cell r="A612" t="str">
            <v>CPU REFERÊNCIA:</v>
          </cell>
          <cell r="B612" t="str">
            <v>REFERÊNCIA:</v>
          </cell>
          <cell r="C612" t="str">
            <v>60.12.30 - EMBASA</v>
          </cell>
        </row>
        <row r="613">
          <cell r="A613" t="str">
            <v>CPU 57</v>
          </cell>
          <cell r="B613">
            <v>57</v>
          </cell>
          <cell r="C613" t="str">
            <v>CAIXA METÁLICA COM TAMPA PARAFUSADA 300 X 300 X 100 MM</v>
          </cell>
          <cell r="F613" t="str">
            <v>OK</v>
          </cell>
        </row>
        <row r="614">
          <cell r="A614" t="str">
            <v>CPU MÃO DE OBRA</v>
          </cell>
          <cell r="B614" t="str">
            <v>MÃO DE OBRA</v>
          </cell>
        </row>
        <row r="615">
          <cell r="A615" t="str">
            <v>CPU 88247</v>
          </cell>
          <cell r="B615">
            <v>88247</v>
          </cell>
          <cell r="C615" t="str">
            <v>AUXILIAR DE ELETRICISTA COM ENCARGOS COMPLEMENTARES</v>
          </cell>
          <cell r="D615" t="str">
            <v>H</v>
          </cell>
          <cell r="E615">
            <v>0.6</v>
          </cell>
        </row>
        <row r="616">
          <cell r="A616" t="str">
            <v>CPU 88264</v>
          </cell>
          <cell r="B616">
            <v>88264</v>
          </cell>
          <cell r="C616" t="str">
            <v>ELETRICISTA COM ENCARGOS COMPLEMENTARES</v>
          </cell>
          <cell r="D616" t="str">
            <v>H</v>
          </cell>
          <cell r="E616">
            <v>1.2</v>
          </cell>
        </row>
        <row r="617">
          <cell r="A617" t="str">
            <v>CPU</v>
          </cell>
        </row>
        <row r="618">
          <cell r="A618" t="str">
            <v>CPU INSUMOS</v>
          </cell>
          <cell r="B618" t="str">
            <v>INSUMOS</v>
          </cell>
        </row>
        <row r="619">
          <cell r="A619" t="str">
            <v>CPU COT</v>
          </cell>
          <cell r="B619" t="str">
            <v>COT</v>
          </cell>
          <cell r="C619" t="str">
            <v>CAIXA DE PASSAGEM EM CHAPA DE AÇO DE SOBREPOR COM TAMPA APARAFUSADA - MED. (30X30X12)CM</v>
          </cell>
          <cell r="D619" t="str">
            <v>UND</v>
          </cell>
          <cell r="E619">
            <v>1</v>
          </cell>
        </row>
        <row r="620">
          <cell r="A620" t="str">
            <v>CPU</v>
          </cell>
        </row>
        <row r="621">
          <cell r="A621" t="str">
            <v>CPU</v>
          </cell>
        </row>
        <row r="622">
          <cell r="A622" t="str">
            <v>CPU REFERÊNCIA:</v>
          </cell>
          <cell r="B622" t="str">
            <v>REFERÊNCIA:</v>
          </cell>
          <cell r="C622" t="str">
            <v>090541 - SIURB</v>
          </cell>
        </row>
        <row r="623">
          <cell r="A623" t="str">
            <v>CPU 58</v>
          </cell>
          <cell r="B623">
            <v>58</v>
          </cell>
          <cell r="C623" t="str">
            <v>CAIXA PARA PISO - TAMPA PARA CAIXA DE PISO</v>
          </cell>
          <cell r="F623" t="str">
            <v>OK</v>
          </cell>
        </row>
        <row r="624">
          <cell r="A624" t="str">
            <v>CPU MÃO DE OBRA</v>
          </cell>
          <cell r="B624" t="str">
            <v>MÃO DE OBRA</v>
          </cell>
        </row>
        <row r="625">
          <cell r="A625" t="str">
            <v>CPU 88264</v>
          </cell>
          <cell r="B625">
            <v>88264</v>
          </cell>
          <cell r="C625" t="str">
            <v>ELETRICISTA COM ENCARGOS COMPLEMENTARES</v>
          </cell>
          <cell r="D625" t="str">
            <v>H</v>
          </cell>
          <cell r="E625">
            <v>0.5</v>
          </cell>
        </row>
        <row r="626">
          <cell r="A626" t="str">
            <v>CPU 88248</v>
          </cell>
          <cell r="B626">
            <v>88248</v>
          </cell>
          <cell r="C626" t="str">
            <v>AUXILIAR DE ENCANADOR OU BOMBEIRO HIDRÁULICO COM ENCARGOS COMPLEMENTARES</v>
          </cell>
          <cell r="D626" t="str">
            <v>H</v>
          </cell>
          <cell r="E626">
            <v>0.5</v>
          </cell>
        </row>
        <row r="627">
          <cell r="A627" t="str">
            <v>CPU</v>
          </cell>
        </row>
        <row r="628">
          <cell r="A628" t="str">
            <v>CPU INSUMOS</v>
          </cell>
          <cell r="B628" t="str">
            <v>INSUMOS</v>
          </cell>
        </row>
        <row r="629">
          <cell r="A629" t="str">
            <v>CPU COT</v>
          </cell>
          <cell r="B629" t="str">
            <v>COT</v>
          </cell>
          <cell r="C629" t="str">
            <v>CAIXA PARA PISO - TAMPA PARA CAIXA DE PISO</v>
          </cell>
          <cell r="E629">
            <v>1</v>
          </cell>
        </row>
        <row r="630">
          <cell r="A630" t="str">
            <v>CPU</v>
          </cell>
        </row>
        <row r="631">
          <cell r="A631" t="str">
            <v>CPU</v>
          </cell>
        </row>
        <row r="632">
          <cell r="A632" t="str">
            <v>CPU REFERÊNCIA:</v>
          </cell>
          <cell r="B632" t="str">
            <v>REFERÊNCIA:</v>
          </cell>
          <cell r="C632" t="str">
            <v>11.14.11 - SUDECAP</v>
          </cell>
        </row>
        <row r="633">
          <cell r="A633" t="str">
            <v>CPU 59</v>
          </cell>
          <cell r="B633">
            <v>59</v>
          </cell>
          <cell r="C633" t="str">
            <v>CAIXA TIPO R2</v>
          </cell>
          <cell r="F633" t="str">
            <v>OK</v>
          </cell>
        </row>
        <row r="634">
          <cell r="A634" t="str">
            <v>CPU MÃO DE OBRA</v>
          </cell>
          <cell r="B634" t="str">
            <v>MÃO DE OBRA</v>
          </cell>
        </row>
        <row r="635">
          <cell r="A635" t="str">
            <v>CPU 88316</v>
          </cell>
          <cell r="B635">
            <v>88316</v>
          </cell>
          <cell r="C635" t="str">
            <v>SERVENTE COM ENCARGOS COMPLEMENTARES</v>
          </cell>
          <cell r="D635" t="str">
            <v>H</v>
          </cell>
          <cell r="E635">
            <v>1.43</v>
          </cell>
        </row>
        <row r="636">
          <cell r="A636" t="str">
            <v>CPU 101445</v>
          </cell>
          <cell r="B636">
            <v>101445</v>
          </cell>
          <cell r="C636" t="str">
            <v>PEDREIRO COM ENCARGOS</v>
          </cell>
          <cell r="D636" t="str">
            <v>H</v>
          </cell>
          <cell r="E636">
            <v>1.43</v>
          </cell>
        </row>
        <row r="637">
          <cell r="A637" t="str">
            <v>CPU 88245</v>
          </cell>
          <cell r="B637">
            <v>88245</v>
          </cell>
          <cell r="C637" t="str">
            <v>ARMADOR COM ENCARGOS COMPLEMENTARES</v>
          </cell>
          <cell r="D637" t="str">
            <v>H</v>
          </cell>
          <cell r="E637">
            <v>0.4</v>
          </cell>
        </row>
        <row r="638">
          <cell r="A638" t="str">
            <v>CPU 7271</v>
          </cell>
          <cell r="B638">
            <v>7271</v>
          </cell>
          <cell r="C638" t="str">
            <v>1	ALVENARIA PARA CAIXAS ENTERRADAS,ATE 0,80M DE PROFUNDIDADE,C OM BLOCOS DE CONCRETO DE 10X20X40CM,COM ARGAMASSA DE CIMENTO E AREIA,NO TRACO 1:4 E CONCRETO 20MPA,PARA PREENCHIMENTO DO S FUROS DOS MESMOS,EM PAREDES DE MEIA VEZ(0,10M)</v>
          </cell>
          <cell r="D638" t="str">
            <v>M2</v>
          </cell>
          <cell r="E638">
            <v>1.79</v>
          </cell>
        </row>
        <row r="639">
          <cell r="A639" t="str">
            <v>CPU 87800</v>
          </cell>
          <cell r="B639">
            <v>87800</v>
          </cell>
          <cell r="C639" t="str">
            <v>EMBOCO COM ARGAMASSA DE CIMENTO E AREIA,NO TRACO 1:4 COM 1,5 CM DE ESPESSURA,INCLUSIVE CHAPISCO DE CIMENTO E AREIA,NO TRA CO 1:3</v>
          </cell>
          <cell r="D639" t="str">
            <v>M2</v>
          </cell>
          <cell r="E639">
            <v>7.0000000000000007E-2</v>
          </cell>
        </row>
        <row r="640">
          <cell r="A640" t="str">
            <v>CPU</v>
          </cell>
          <cell r="C640" t="str">
            <v>FORMAS DE MADEIRA DE 3ª PARA MOLDAGEM DE PECAS DE CONCRETO A RMADO COM PARAMENTOS PLANOS,EM LAJES,VIGAS,PAREDES,ETC,SERVI NDO A MADEIRA 2 VEZES,INCLUSIVE DESMOLDAGEM,EXCLUSIVE ESCORA MENTO</v>
          </cell>
          <cell r="D640" t="str">
            <v>M2</v>
          </cell>
          <cell r="E640">
            <v>0.32</v>
          </cell>
        </row>
        <row r="641">
          <cell r="A641" t="str">
            <v>CPU 102487</v>
          </cell>
          <cell r="B641">
            <v>102487</v>
          </cell>
          <cell r="C641" t="str">
            <v>CONCRETO DOSADO RACIONALMENTE PARA UMA RESISTENCIA CARACTERI STICA A COMPRESSAO DE 15MPA,COMPREENDENDO APENAS O FORNECIME NTO DOS MATERIAIS,INCLUSIVE 5% DE PERDAS</v>
          </cell>
          <cell r="D641" t="str">
            <v>M3</v>
          </cell>
          <cell r="E641">
            <v>0.17</v>
          </cell>
        </row>
        <row r="642">
          <cell r="A642" t="str">
            <v>CPU</v>
          </cell>
        </row>
        <row r="643">
          <cell r="A643" t="str">
            <v>CPU INSUMOS</v>
          </cell>
          <cell r="B643" t="str">
            <v>INSUMOS</v>
          </cell>
        </row>
        <row r="644">
          <cell r="A644" t="str">
            <v>CPU COT</v>
          </cell>
          <cell r="B644" t="str">
            <v>COT</v>
          </cell>
          <cell r="C644" t="str">
            <v>ARAME RECOZIDO Nº 18</v>
          </cell>
          <cell r="D644" t="str">
            <v>KG</v>
          </cell>
          <cell r="E644">
            <v>0.24</v>
          </cell>
        </row>
        <row r="645">
          <cell r="A645" t="str">
            <v>CPU COT</v>
          </cell>
          <cell r="B645" t="str">
            <v>COT</v>
          </cell>
          <cell r="C645" t="str">
            <v>ACO CA-50, ESTIRADO, PRECO DE REVENDEDOR , NO DIAMETRO DE 06,3MM</v>
          </cell>
          <cell r="D645" t="str">
            <v>KG</v>
          </cell>
          <cell r="E645">
            <v>8</v>
          </cell>
        </row>
        <row r="646">
          <cell r="A646" t="str">
            <v>CPU</v>
          </cell>
        </row>
        <row r="647">
          <cell r="A647" t="str">
            <v>CPU REFERÊNCIA:</v>
          </cell>
          <cell r="B647" t="str">
            <v>REFERÊNCIA:</v>
          </cell>
          <cell r="C647" t="str">
            <v>15.002.0125-0 - EMOP</v>
          </cell>
        </row>
        <row r="648">
          <cell r="A648" t="str">
            <v>CPU 60</v>
          </cell>
          <cell r="B648">
            <v>60</v>
          </cell>
          <cell r="C648" t="str">
            <v>CAP - 32MM</v>
          </cell>
          <cell r="F648" t="str">
            <v>OK</v>
          </cell>
        </row>
        <row r="649">
          <cell r="A649" t="str">
            <v>CPU MÃO DE OBRA</v>
          </cell>
          <cell r="B649" t="str">
            <v>MÃO DE OBRA</v>
          </cell>
        </row>
        <row r="650">
          <cell r="A650" t="str">
            <v>CPU 88316</v>
          </cell>
          <cell r="B650">
            <v>88316</v>
          </cell>
          <cell r="C650" t="str">
            <v>SERVENTE COM ENCARGOS COMPLEMENTARES</v>
          </cell>
          <cell r="D650" t="str">
            <v>H</v>
          </cell>
          <cell r="E650">
            <v>0.04</v>
          </cell>
        </row>
        <row r="651">
          <cell r="A651" t="str">
            <v>CPU 88246</v>
          </cell>
          <cell r="B651">
            <v>88246</v>
          </cell>
          <cell r="C651" t="str">
            <v>ASSENTADOR DE TUBOS</v>
          </cell>
          <cell r="D651" t="str">
            <v>H</v>
          </cell>
          <cell r="E651">
            <v>0.13</v>
          </cell>
        </row>
        <row r="652">
          <cell r="A652" t="str">
            <v>CPU</v>
          </cell>
        </row>
        <row r="653">
          <cell r="A653" t="str">
            <v>CPU INSUMOS</v>
          </cell>
          <cell r="B653" t="str">
            <v>INSUMOS</v>
          </cell>
        </row>
        <row r="654">
          <cell r="A654" t="str">
            <v>CPU COT</v>
          </cell>
          <cell r="B654" t="str">
            <v>COT</v>
          </cell>
          <cell r="C654" t="str">
            <v>PASTA LUBRIFICANTE PARA TUBOS E CONEXOES COM JUNTA ELASTICA, EMBALAGEM DE *400* GR (USO EM PVC, ACO, POLIETILENO E OUTROS)</v>
          </cell>
          <cell r="E654">
            <v>4.2999999999999997E-2</v>
          </cell>
        </row>
        <row r="655">
          <cell r="A655" t="str">
            <v>CPU COT</v>
          </cell>
          <cell r="B655" t="str">
            <v>COT</v>
          </cell>
          <cell r="C655" t="str">
            <v>ANEL BORRACHA, PARA TUBO PVC, REDE COLETOR ESGOTO, DN 150 MM (NBR 7362)</v>
          </cell>
          <cell r="E655">
            <v>1</v>
          </cell>
        </row>
        <row r="656">
          <cell r="A656" t="str">
            <v>CPU COT</v>
          </cell>
          <cell r="B656" t="str">
            <v>COT</v>
          </cell>
          <cell r="C656" t="str">
            <v>CAP - 32MM</v>
          </cell>
          <cell r="E656">
            <v>1</v>
          </cell>
        </row>
        <row r="657">
          <cell r="A657" t="str">
            <v>CPU REFERÊNCIA:</v>
          </cell>
          <cell r="B657" t="str">
            <v>REFERÊNCIA:</v>
          </cell>
          <cell r="C657" t="str">
            <v>104084 - SINAPI</v>
          </cell>
        </row>
        <row r="658">
          <cell r="A658" t="str">
            <v>CPU 61</v>
          </cell>
          <cell r="B658">
            <v>61</v>
          </cell>
          <cell r="C658" t="str">
            <v>CAP - 50MM</v>
          </cell>
          <cell r="F658" t="str">
            <v>OK</v>
          </cell>
        </row>
        <row r="659">
          <cell r="A659" t="str">
            <v>CPU MÃO DE OBRA</v>
          </cell>
          <cell r="B659" t="str">
            <v>MÃO DE OBRA</v>
          </cell>
        </row>
        <row r="660">
          <cell r="A660" t="str">
            <v>CPU 88316</v>
          </cell>
          <cell r="B660">
            <v>88316</v>
          </cell>
          <cell r="C660" t="str">
            <v>SERVENTE COM ENCARGOS COMPLEMENTARES</v>
          </cell>
          <cell r="D660" t="str">
            <v>H</v>
          </cell>
          <cell r="E660">
            <v>0.04</v>
          </cell>
        </row>
        <row r="661">
          <cell r="A661" t="str">
            <v>CPU 88246</v>
          </cell>
          <cell r="B661">
            <v>88246</v>
          </cell>
          <cell r="C661" t="str">
            <v>ASSENTADOR DE TUBOS</v>
          </cell>
          <cell r="D661" t="str">
            <v>H</v>
          </cell>
          <cell r="E661">
            <v>0.13</v>
          </cell>
        </row>
        <row r="662">
          <cell r="A662" t="str">
            <v>CPU</v>
          </cell>
        </row>
        <row r="663">
          <cell r="A663" t="str">
            <v>CPU INSUMOS</v>
          </cell>
          <cell r="B663" t="str">
            <v>INSUMOS</v>
          </cell>
        </row>
        <row r="664">
          <cell r="A664" t="str">
            <v>CPU COT</v>
          </cell>
          <cell r="B664" t="str">
            <v>COT</v>
          </cell>
          <cell r="C664" t="str">
            <v>PASTA LUBRIFICANTE PARA TUBOS E CONEXOES COM JUNTA ELASTICA, EMBALAGEM DE *400* GR (USO EM PVC, ACO, POLIETILENO E OUTROS)</v>
          </cell>
          <cell r="E664">
            <v>4.2999999999999997E-2</v>
          </cell>
        </row>
        <row r="665">
          <cell r="A665" t="str">
            <v>CPU COT</v>
          </cell>
          <cell r="B665" t="str">
            <v>COT</v>
          </cell>
          <cell r="C665" t="str">
            <v>ANEL BORRACHA, PARA TUBO PVC, REDE COLETOR ESGOTO, DN 150 MM (NBR 7362)</v>
          </cell>
          <cell r="E665">
            <v>1</v>
          </cell>
        </row>
        <row r="666">
          <cell r="A666" t="str">
            <v>CPU COT</v>
          </cell>
          <cell r="B666" t="str">
            <v>COT</v>
          </cell>
          <cell r="C666" t="str">
            <v>CAP - 50MM</v>
          </cell>
          <cell r="E666">
            <v>1</v>
          </cell>
        </row>
        <row r="667">
          <cell r="A667" t="str">
            <v>CPU REFERÊNCIA:</v>
          </cell>
          <cell r="B667" t="str">
            <v>REFERÊNCIA:</v>
          </cell>
          <cell r="C667" t="str">
            <v>104084 - SINAPI</v>
          </cell>
        </row>
        <row r="668">
          <cell r="A668" t="str">
            <v>CPU 62</v>
          </cell>
          <cell r="B668">
            <v>62</v>
          </cell>
          <cell r="C668" t="str">
            <v>CARPETE</v>
          </cell>
          <cell r="F668" t="str">
            <v>OK</v>
          </cell>
        </row>
        <row r="669">
          <cell r="A669" t="str">
            <v>CPU MÃO DE OBRA</v>
          </cell>
          <cell r="B669" t="str">
            <v>MÃO DE OBRA</v>
          </cell>
        </row>
        <row r="670">
          <cell r="A670" t="str">
            <v>CPU 242</v>
          </cell>
          <cell r="B670">
            <v>242</v>
          </cell>
          <cell r="C670" t="str">
            <v>AJUDANTE ESPECIALIZADO</v>
          </cell>
          <cell r="D670" t="str">
            <v>H</v>
          </cell>
          <cell r="E670">
            <v>0.10299999999999999</v>
          </cell>
        </row>
        <row r="671">
          <cell r="A671" t="str">
            <v>CPU</v>
          </cell>
        </row>
        <row r="672">
          <cell r="A672" t="str">
            <v>CPU</v>
          </cell>
        </row>
        <row r="673">
          <cell r="A673" t="str">
            <v>CPU INSUMOS</v>
          </cell>
          <cell r="B673" t="str">
            <v>INSUMOS</v>
          </cell>
        </row>
        <row r="674">
          <cell r="A674" t="str">
            <v>CPU COT</v>
          </cell>
          <cell r="B674" t="str">
            <v>COT</v>
          </cell>
          <cell r="C674" t="str">
            <v>COLA BOULIEU 4,7kg/m2</v>
          </cell>
          <cell r="D674" t="str">
            <v>GL</v>
          </cell>
          <cell r="E674" t="str">
            <v>0.398</v>
          </cell>
        </row>
        <row r="675">
          <cell r="A675" t="str">
            <v>CPU COT</v>
          </cell>
          <cell r="B675" t="str">
            <v>COT</v>
          </cell>
          <cell r="C675" t="str">
            <v>CARPETE</v>
          </cell>
          <cell r="D675" t="str">
            <v>M2</v>
          </cell>
          <cell r="E675">
            <v>1</v>
          </cell>
        </row>
        <row r="676">
          <cell r="A676" t="str">
            <v>CPU</v>
          </cell>
        </row>
        <row r="677">
          <cell r="A677" t="str">
            <v>CPU REFERÊNCIA:</v>
          </cell>
          <cell r="B677" t="str">
            <v>REFERÊNCIA:</v>
          </cell>
          <cell r="C677" t="str">
            <v>170050 - SBC</v>
          </cell>
        </row>
        <row r="678">
          <cell r="A678" t="str">
            <v>CPU 63</v>
          </cell>
          <cell r="B678">
            <v>63</v>
          </cell>
          <cell r="C678" t="str">
            <v>CENTRAL DE DETECÇÃO, ENDEREÇÁVEL, COM 04 LAÇOS DE 125 ENDEREÇOS, COM BATERIAS E CAPACIDADE PARA 24 HORAS EM SUPERVISÃO MAIS 15 MINUTOS EM ALARME - UL E FM GLOBAL, ENDEREÇÁVEL, HOCHIKI/PROLINE</v>
          </cell>
          <cell r="F678" t="str">
            <v>OK</v>
          </cell>
        </row>
        <row r="679">
          <cell r="A679" t="str">
            <v>CPU MÃO DE OBRA</v>
          </cell>
          <cell r="B679" t="str">
            <v>MÃO DE OBRA</v>
          </cell>
        </row>
        <row r="680">
          <cell r="A680" t="str">
            <v>CPU 88264</v>
          </cell>
          <cell r="B680">
            <v>88264</v>
          </cell>
          <cell r="C680" t="str">
            <v>ELETRICISTA COM ENCARGOS COMPLEMENTARES</v>
          </cell>
          <cell r="D680" t="str">
            <v>H</v>
          </cell>
          <cell r="E680">
            <v>1</v>
          </cell>
        </row>
        <row r="681">
          <cell r="A681" t="str">
            <v>CPU</v>
          </cell>
        </row>
        <row r="682">
          <cell r="A682" t="str">
            <v>CPU</v>
          </cell>
        </row>
        <row r="683">
          <cell r="A683" t="str">
            <v>CPU INSUMOS</v>
          </cell>
          <cell r="B683" t="str">
            <v>INSUMOS</v>
          </cell>
        </row>
        <row r="684">
          <cell r="A684" t="str">
            <v>CPU COT</v>
          </cell>
          <cell r="B684" t="str">
            <v>COT</v>
          </cell>
          <cell r="C684" t="str">
            <v>CENTRAL DE DETECÇÃO, ENDEREÇÁVEL, COM 04 LAÇOS DE 125 ENDEREÇOS, COM BATERIAS E CAPACIDADE PARA 24 HORAS EM SUPERVISÃO MAIS 15 MINUTOS EM ALARME - UL E FM GLOBAL, ENDEREÇÁVEL, HOCHIKI/PROLINE</v>
          </cell>
          <cell r="D684" t="str">
            <v>UND</v>
          </cell>
          <cell r="E684">
            <v>1</v>
          </cell>
        </row>
        <row r="685">
          <cell r="A685" t="str">
            <v>CPU</v>
          </cell>
        </row>
        <row r="686">
          <cell r="A686" t="str">
            <v>CPU</v>
          </cell>
        </row>
        <row r="687">
          <cell r="A687" t="str">
            <v>CPU REFERÊNCIA:</v>
          </cell>
          <cell r="B687" t="str">
            <v>REFERÊNCIA:</v>
          </cell>
          <cell r="C687" t="str">
            <v>8058 - ORSE</v>
          </cell>
        </row>
        <row r="688">
          <cell r="A688" t="str">
            <v>CPU 64</v>
          </cell>
          <cell r="B688">
            <v>64</v>
          </cell>
          <cell r="C688" t="str">
            <v>CENTRAL PABX HÍBRIDA, CAPACIDADE 16 LINHAS E 40 RAMAIS, MOD. IMPACTA 94, INTELBRÁS OU SIMILAR</v>
          </cell>
          <cell r="F688" t="str">
            <v>OK</v>
          </cell>
        </row>
        <row r="689">
          <cell r="A689" t="str">
            <v>CPU MÃO DE OBRA</v>
          </cell>
          <cell r="B689" t="str">
            <v>MÃO DE OBRA</v>
          </cell>
        </row>
        <row r="690">
          <cell r="A690" t="str">
            <v>CPU</v>
          </cell>
        </row>
        <row r="691">
          <cell r="A691" t="str">
            <v>CPU</v>
          </cell>
        </row>
        <row r="692">
          <cell r="A692" t="str">
            <v>CPU</v>
          </cell>
        </row>
        <row r="693">
          <cell r="A693" t="str">
            <v>CPU INSUMOS</v>
          </cell>
          <cell r="B693" t="str">
            <v>INSUMOS</v>
          </cell>
        </row>
        <row r="694">
          <cell r="A694" t="str">
            <v>CPU cot</v>
          </cell>
          <cell r="B694" t="str">
            <v>cot</v>
          </cell>
          <cell r="C694" t="str">
            <v>CENTRAL PABX HÍBRIDA, CAPACIDADE 16 LINHAS E 40 RAMAIS, MOD. IMPACTA 94, INTELBRÁS OU SIMILAR</v>
          </cell>
          <cell r="D694" t="str">
            <v>und</v>
          </cell>
          <cell r="E694">
            <v>1</v>
          </cell>
        </row>
        <row r="695">
          <cell r="A695" t="str">
            <v>CPU</v>
          </cell>
        </row>
        <row r="696">
          <cell r="A696" t="str">
            <v>CPU</v>
          </cell>
        </row>
        <row r="697">
          <cell r="A697" t="str">
            <v>CPU REFERÊNCIA:</v>
          </cell>
          <cell r="B697" t="str">
            <v>REFERÊNCIA:</v>
          </cell>
          <cell r="C697" t="str">
            <v>7841 - ORSE</v>
          </cell>
        </row>
        <row r="698">
          <cell r="A698" t="str">
            <v>CPU 65</v>
          </cell>
          <cell r="B698">
            <v>65</v>
          </cell>
          <cell r="C698" t="str">
            <v>CERTIFICAÇÃO DE CABO UTP CAT6</v>
          </cell>
          <cell r="F698" t="str">
            <v>NÃO</v>
          </cell>
        </row>
        <row r="699">
          <cell r="A699" t="str">
            <v>CPU MÃO DE OBRA</v>
          </cell>
          <cell r="B699" t="str">
            <v>MÃO DE OBRA</v>
          </cell>
        </row>
        <row r="700">
          <cell r="A700" t="str">
            <v>CPU</v>
          </cell>
        </row>
        <row r="701">
          <cell r="A701" t="str">
            <v>CPU</v>
          </cell>
        </row>
        <row r="702">
          <cell r="A702" t="str">
            <v>CPU</v>
          </cell>
        </row>
        <row r="703">
          <cell r="A703" t="str">
            <v>CPU INSUMOS</v>
          </cell>
          <cell r="B703" t="str">
            <v>INSUMOS</v>
          </cell>
        </row>
        <row r="704">
          <cell r="A704" t="str">
            <v>CPU cot</v>
          </cell>
          <cell r="B704" t="str">
            <v>cot</v>
          </cell>
          <cell r="C704" t="str">
            <v>CERTIFICAÇÃO DE CABO UTP CAT6</v>
          </cell>
          <cell r="D704" t="str">
            <v>und</v>
          </cell>
          <cell r="E704">
            <v>1</v>
          </cell>
        </row>
        <row r="705">
          <cell r="A705" t="str">
            <v>CPU</v>
          </cell>
        </row>
        <row r="706">
          <cell r="A706" t="str">
            <v>CPU</v>
          </cell>
        </row>
        <row r="707">
          <cell r="A707" t="str">
            <v>CPU REFERÊNCIA:</v>
          </cell>
          <cell r="B707" t="str">
            <v>REFERÊNCIA:</v>
          </cell>
          <cell r="C707" t="str">
            <v>ED-48368 - SETOP</v>
          </cell>
        </row>
        <row r="708">
          <cell r="A708" t="str">
            <v>CPU 66</v>
          </cell>
          <cell r="B708">
            <v>66</v>
          </cell>
          <cell r="C708" t="str">
            <v>CERTIFICAÇÃO DE FIBRA OPTICA</v>
          </cell>
          <cell r="F708" t="str">
            <v>NÃO</v>
          </cell>
        </row>
        <row r="709">
          <cell r="A709" t="str">
            <v>CPU MÃO DE OBRA</v>
          </cell>
          <cell r="B709" t="str">
            <v>MÃO DE OBRA</v>
          </cell>
        </row>
        <row r="710">
          <cell r="A710" t="str">
            <v>CPU</v>
          </cell>
        </row>
        <row r="711">
          <cell r="A711" t="str">
            <v>CPU</v>
          </cell>
        </row>
        <row r="712">
          <cell r="A712" t="str">
            <v>CPU</v>
          </cell>
        </row>
        <row r="713">
          <cell r="A713" t="str">
            <v>CPU INSUMOS</v>
          </cell>
          <cell r="B713" t="str">
            <v>INSUMOS</v>
          </cell>
        </row>
        <row r="714">
          <cell r="A714" t="str">
            <v>CPU cot</v>
          </cell>
          <cell r="B714" t="str">
            <v>cot</v>
          </cell>
          <cell r="C714" t="str">
            <v>CERTIFICAÇÃO DE FIBRA OPTICA</v>
          </cell>
          <cell r="D714" t="str">
            <v>und</v>
          </cell>
          <cell r="E714">
            <v>1</v>
          </cell>
        </row>
        <row r="715">
          <cell r="A715" t="str">
            <v>CPU</v>
          </cell>
        </row>
        <row r="716">
          <cell r="A716" t="str">
            <v>CPU</v>
          </cell>
        </row>
        <row r="717">
          <cell r="A717" t="str">
            <v>CPU REFERÊNCIA:</v>
          </cell>
          <cell r="B717" t="str">
            <v>REFERÊNCIA:</v>
          </cell>
          <cell r="C717" t="str">
            <v>059449 - SBC</v>
          </cell>
        </row>
        <row r="718">
          <cell r="A718" t="str">
            <v>CPU 67</v>
          </cell>
          <cell r="B718">
            <v>67</v>
          </cell>
          <cell r="C718" t="str">
            <v>CFTV - IP/POE - CÂMERA DE SEGURANÇA TIPO BULLET 90° IP66</v>
          </cell>
          <cell r="F718" t="str">
            <v>OK</v>
          </cell>
        </row>
        <row r="719">
          <cell r="A719" t="str">
            <v>CPU MÃO DE OBRA</v>
          </cell>
          <cell r="B719" t="str">
            <v>MÃO DE OBRA</v>
          </cell>
        </row>
        <row r="720">
          <cell r="A720" t="str">
            <v>CPU 2438</v>
          </cell>
          <cell r="B720">
            <v>2438</v>
          </cell>
          <cell r="C720" t="str">
            <v>ELETROTECNICO (HORISTA)</v>
          </cell>
          <cell r="D720" t="str">
            <v>H</v>
          </cell>
          <cell r="E720">
            <v>8</v>
          </cell>
        </row>
        <row r="721">
          <cell r="A721" t="str">
            <v>CPU 88247</v>
          </cell>
          <cell r="B721">
            <v>88247</v>
          </cell>
          <cell r="C721" t="str">
            <v>AUXILIAR DE ELETRICISTA COM ENCARGOS COMPLEMENTARES</v>
          </cell>
          <cell r="D721" t="str">
            <v>H</v>
          </cell>
          <cell r="E721">
            <v>6</v>
          </cell>
        </row>
        <row r="722">
          <cell r="A722" t="str">
            <v>CPU</v>
          </cell>
        </row>
        <row r="723">
          <cell r="A723" t="str">
            <v>CPU INSUMOS</v>
          </cell>
          <cell r="B723" t="str">
            <v>INSUMOS</v>
          </cell>
        </row>
        <row r="724">
          <cell r="A724" t="str">
            <v>CPU COT</v>
          </cell>
          <cell r="B724" t="str">
            <v>COT</v>
          </cell>
          <cell r="C724" t="str">
            <v>CFTV - IP/POE - CÂMERA DE SEGURANÇA TIPO BULLET 90° IP66</v>
          </cell>
          <cell r="D724" t="str">
            <v>UND</v>
          </cell>
          <cell r="E724">
            <v>1</v>
          </cell>
        </row>
        <row r="725">
          <cell r="A725" t="str">
            <v>CPU</v>
          </cell>
        </row>
        <row r="726">
          <cell r="A726" t="str">
            <v>CPU</v>
          </cell>
        </row>
        <row r="727">
          <cell r="A727" t="str">
            <v>CPU REFERÊNCIA:</v>
          </cell>
          <cell r="B727" t="str">
            <v>REFERÊNCIA:</v>
          </cell>
          <cell r="C727" t="str">
            <v>067207 - SBC</v>
          </cell>
        </row>
        <row r="728">
          <cell r="A728" t="str">
            <v>CPU 68</v>
          </cell>
          <cell r="B728">
            <v>68</v>
          </cell>
          <cell r="C728" t="str">
            <v>CFTV - IP/POE - CÂMERA DE SEGURANÇA TIPO DOME 90° IP66</v>
          </cell>
          <cell r="F728" t="str">
            <v>OK</v>
          </cell>
        </row>
        <row r="729">
          <cell r="A729" t="str">
            <v>CPU MÃO DE OBRA</v>
          </cell>
          <cell r="B729" t="str">
            <v>MÃO DE OBRA</v>
          </cell>
        </row>
        <row r="730">
          <cell r="A730" t="str">
            <v>CPU 242</v>
          </cell>
          <cell r="B730">
            <v>242</v>
          </cell>
          <cell r="C730" t="str">
            <v>AJUDANTE ESPECIALIZADO</v>
          </cell>
          <cell r="D730" t="str">
            <v>H</v>
          </cell>
          <cell r="E730">
            <v>0.53</v>
          </cell>
        </row>
        <row r="731">
          <cell r="A731" t="str">
            <v>CPU 2438</v>
          </cell>
          <cell r="B731">
            <v>2438</v>
          </cell>
          <cell r="C731" t="str">
            <v>ELETROTECNICO (HORISTA)</v>
          </cell>
          <cell r="D731" t="str">
            <v>H</v>
          </cell>
          <cell r="E731">
            <v>0.53</v>
          </cell>
        </row>
        <row r="732">
          <cell r="A732" t="str">
            <v>CPU</v>
          </cell>
        </row>
        <row r="733">
          <cell r="A733" t="str">
            <v>CPU INSUMOS</v>
          </cell>
          <cell r="B733" t="str">
            <v>INSUMOS</v>
          </cell>
        </row>
        <row r="734">
          <cell r="A734" t="str">
            <v>CPU COT</v>
          </cell>
          <cell r="B734" t="str">
            <v>COT</v>
          </cell>
          <cell r="C734" t="str">
            <v>CFTV - IP/POE - CÂMERA DE SEGURANÇA TIPO DOME 90° IP66</v>
          </cell>
          <cell r="D734" t="str">
            <v>UND</v>
          </cell>
          <cell r="E734">
            <v>1</v>
          </cell>
        </row>
        <row r="735">
          <cell r="A735" t="str">
            <v>CPU</v>
          </cell>
        </row>
        <row r="736">
          <cell r="A736" t="str">
            <v>CPU</v>
          </cell>
        </row>
        <row r="737">
          <cell r="A737" t="str">
            <v>CPU REFERÊNCIA:</v>
          </cell>
          <cell r="B737" t="str">
            <v>REFERÊNCIA:</v>
          </cell>
          <cell r="C737" t="str">
            <v>059438 - SBC</v>
          </cell>
        </row>
        <row r="738">
          <cell r="A738" t="str">
            <v>CPU 69</v>
          </cell>
          <cell r="B738">
            <v>69</v>
          </cell>
          <cell r="C738" t="str">
            <v>CHAVE FUS DIST C 15KV 100A 7,1KA</v>
          </cell>
          <cell r="F738" t="str">
            <v>OK</v>
          </cell>
        </row>
        <row r="739">
          <cell r="A739" t="str">
            <v>CPU MÃO DE OBRA</v>
          </cell>
          <cell r="B739" t="str">
            <v>MÃO DE OBRA</v>
          </cell>
        </row>
        <row r="740">
          <cell r="A740" t="str">
            <v>CPU</v>
          </cell>
        </row>
        <row r="741">
          <cell r="A741" t="str">
            <v>CPU</v>
          </cell>
        </row>
        <row r="742">
          <cell r="A742" t="str">
            <v>CPU</v>
          </cell>
        </row>
        <row r="743">
          <cell r="A743" t="str">
            <v>CPU INSUMOS</v>
          </cell>
          <cell r="B743" t="str">
            <v>INSUMOS</v>
          </cell>
        </row>
        <row r="744">
          <cell r="A744" t="str">
            <v>CPU cot</v>
          </cell>
          <cell r="B744" t="str">
            <v>cot</v>
          </cell>
          <cell r="C744" t="str">
            <v>CHAVE FUS DIST C 15KV 100A 7,1KA</v>
          </cell>
          <cell r="D744" t="str">
            <v>und</v>
          </cell>
          <cell r="E744">
            <v>1</v>
          </cell>
        </row>
        <row r="745">
          <cell r="A745" t="str">
            <v>CPU</v>
          </cell>
        </row>
        <row r="746">
          <cell r="A746" t="str">
            <v>CPU</v>
          </cell>
        </row>
        <row r="747">
          <cell r="A747" t="str">
            <v>CPU REFERÊNCIA:</v>
          </cell>
          <cell r="B747" t="str">
            <v>REFERÊNCIA:</v>
          </cell>
          <cell r="C747" t="str">
            <v>2858 - ORSE</v>
          </cell>
        </row>
        <row r="748">
          <cell r="A748" t="str">
            <v>CPU 70</v>
          </cell>
          <cell r="B748">
            <v>70</v>
          </cell>
          <cell r="C748" t="str">
            <v>CHICOTE  - 3/4"</v>
          </cell>
          <cell r="F748" t="str">
            <v>OK</v>
          </cell>
        </row>
        <row r="749">
          <cell r="A749" t="str">
            <v>CPU MÃO DE OBRA</v>
          </cell>
          <cell r="B749" t="str">
            <v>MÃO DE OBRA</v>
          </cell>
        </row>
        <row r="750">
          <cell r="A750" t="str">
            <v>CPU 88316</v>
          </cell>
          <cell r="B750">
            <v>88316</v>
          </cell>
          <cell r="C750" t="str">
            <v>SERVENTE COM ENCARGOS COMPLEMENTARES</v>
          </cell>
          <cell r="D750" t="str">
            <v>H</v>
          </cell>
          <cell r="E750">
            <v>0.15</v>
          </cell>
        </row>
        <row r="751">
          <cell r="A751" t="str">
            <v>CPU 88267</v>
          </cell>
          <cell r="B751">
            <v>88267</v>
          </cell>
          <cell r="C751" t="str">
            <v>ENCANADOR OU BOMBEIRO HIDRÁULICO COM ENCARGOS COMPLEMENTARES</v>
          </cell>
          <cell r="D751" t="str">
            <v>H</v>
          </cell>
          <cell r="E751">
            <v>0.15</v>
          </cell>
        </row>
        <row r="752">
          <cell r="A752" t="str">
            <v>CPU</v>
          </cell>
        </row>
        <row r="753">
          <cell r="A753" t="str">
            <v>CPU INSUMOS</v>
          </cell>
          <cell r="B753" t="str">
            <v>INSUMOS</v>
          </cell>
        </row>
        <row r="754">
          <cell r="A754" t="str">
            <v>CPU COT</v>
          </cell>
          <cell r="B754" t="str">
            <v>COT</v>
          </cell>
          <cell r="C754" t="str">
            <v>CHICOTE  - 3/4"</v>
          </cell>
          <cell r="D754" t="str">
            <v>UND</v>
          </cell>
          <cell r="E754">
            <v>1</v>
          </cell>
        </row>
        <row r="755">
          <cell r="A755" t="str">
            <v>CPU</v>
          </cell>
        </row>
        <row r="756">
          <cell r="A756" t="str">
            <v>CPU</v>
          </cell>
        </row>
        <row r="757">
          <cell r="A757" t="str">
            <v>CPU REFERÊNCIA:</v>
          </cell>
          <cell r="B757" t="str">
            <v>REFERÊNCIA:</v>
          </cell>
          <cell r="C757" t="str">
            <v>7838 - ORSE</v>
          </cell>
        </row>
        <row r="758">
          <cell r="A758" t="str">
            <v>CPU 71</v>
          </cell>
          <cell r="B758">
            <v>71</v>
          </cell>
          <cell r="C758" t="str">
            <v>CHUMBADOR PARA ROSCA M16</v>
          </cell>
          <cell r="F758" t="str">
            <v>OK</v>
          </cell>
        </row>
        <row r="759">
          <cell r="A759" t="str">
            <v>CPU MÃO DE OBRA</v>
          </cell>
          <cell r="B759" t="str">
            <v>MÃO DE OBRA</v>
          </cell>
        </row>
        <row r="760">
          <cell r="A760" t="str">
            <v>CPU 88264</v>
          </cell>
          <cell r="B760">
            <v>88264</v>
          </cell>
          <cell r="C760" t="str">
            <v>ELETRICISTA COM ENCARGOS COMPLEMENTARES</v>
          </cell>
          <cell r="D760" t="str">
            <v>H</v>
          </cell>
          <cell r="E760">
            <v>0.08</v>
          </cell>
        </row>
        <row r="761">
          <cell r="A761" t="str">
            <v>CPU 88316</v>
          </cell>
          <cell r="B761">
            <v>88316</v>
          </cell>
          <cell r="C761" t="str">
            <v>SERVENTE COM ENCARGOS COMPLEMENTARES</v>
          </cell>
          <cell r="D761" t="str">
            <v>H</v>
          </cell>
          <cell r="E761">
            <v>0.08</v>
          </cell>
        </row>
        <row r="762">
          <cell r="A762" t="str">
            <v>CPU</v>
          </cell>
        </row>
        <row r="763">
          <cell r="A763" t="str">
            <v>CPU INSUMOS</v>
          </cell>
          <cell r="B763" t="str">
            <v>INSUMOS</v>
          </cell>
        </row>
        <row r="764">
          <cell r="A764" t="str">
            <v>CPU COT</v>
          </cell>
          <cell r="B764" t="str">
            <v>COT</v>
          </cell>
          <cell r="C764" t="str">
            <v>CHUMBADOR PARA ROSCA M16</v>
          </cell>
          <cell r="D764" t="str">
            <v>UND</v>
          </cell>
          <cell r="E764">
            <v>1</v>
          </cell>
        </row>
        <row r="765">
          <cell r="A765" t="str">
            <v>CPU</v>
          </cell>
        </row>
        <row r="766">
          <cell r="A766" t="str">
            <v>CPU</v>
          </cell>
        </row>
        <row r="767">
          <cell r="A767" t="str">
            <v>CPU REFERÊNCIA:</v>
          </cell>
          <cell r="B767" t="str">
            <v>REFERÊNCIA:</v>
          </cell>
          <cell r="C767" t="str">
            <v>744 - ORSE</v>
          </cell>
        </row>
        <row r="768">
          <cell r="A768" t="str">
            <v>CPU 72</v>
          </cell>
          <cell r="B768">
            <v>72</v>
          </cell>
          <cell r="C768" t="str">
            <v>CINTA CIRCULAR AÇO GALV. P/ POSTE - D=150MM</v>
          </cell>
          <cell r="F768" t="str">
            <v>OK</v>
          </cell>
        </row>
        <row r="769">
          <cell r="A769" t="str">
            <v>CPU MÃO DE OBRA</v>
          </cell>
          <cell r="B769" t="str">
            <v>MÃO DE OBRA</v>
          </cell>
        </row>
        <row r="770">
          <cell r="A770" t="str">
            <v>CPU 88247</v>
          </cell>
          <cell r="B770">
            <v>88247</v>
          </cell>
          <cell r="C770" t="str">
            <v>AUXILIAR DE ELETRICISTA COM ENCARGOS COMPLEMENTARES</v>
          </cell>
          <cell r="D770" t="str">
            <v>H</v>
          </cell>
          <cell r="E770">
            <v>0.25</v>
          </cell>
        </row>
        <row r="771">
          <cell r="A771" t="str">
            <v>CPU 88264</v>
          </cell>
          <cell r="B771">
            <v>88264</v>
          </cell>
          <cell r="C771" t="str">
            <v>ELETRICISTA COM ENCARGOS COMPLEMENTARES</v>
          </cell>
          <cell r="D771" t="str">
            <v>H</v>
          </cell>
          <cell r="E771">
            <v>0.5</v>
          </cell>
        </row>
        <row r="772">
          <cell r="A772" t="str">
            <v>CPU</v>
          </cell>
        </row>
        <row r="773">
          <cell r="A773" t="str">
            <v>CPU INSUMOS</v>
          </cell>
          <cell r="B773" t="str">
            <v>INSUMOS</v>
          </cell>
        </row>
        <row r="774">
          <cell r="A774" t="str">
            <v>CPU COT</v>
          </cell>
          <cell r="B774" t="str">
            <v>COT</v>
          </cell>
          <cell r="C774" t="str">
            <v>CINTA CIRCULAR AÇO GALV. P/ POSTE - D=150MM</v>
          </cell>
          <cell r="D774" t="str">
            <v>UND</v>
          </cell>
          <cell r="E774">
            <v>1</v>
          </cell>
        </row>
        <row r="775">
          <cell r="A775" t="str">
            <v>CPU</v>
          </cell>
        </row>
        <row r="776">
          <cell r="A776" t="str">
            <v>CPU</v>
          </cell>
        </row>
        <row r="777">
          <cell r="A777" t="str">
            <v>CPU REFERÊNCIA:</v>
          </cell>
          <cell r="B777" t="str">
            <v>REFERÊNCIA:</v>
          </cell>
          <cell r="C777" t="str">
            <v>171152 - SEDOP</v>
          </cell>
        </row>
        <row r="778">
          <cell r="A778" t="str">
            <v>CPU 73</v>
          </cell>
          <cell r="B778">
            <v>73</v>
          </cell>
          <cell r="C778" t="str">
            <v>CONDULETE GALVANIZADO TIPO L P/ ELETRODUTO 2"</v>
          </cell>
          <cell r="F778" t="str">
            <v>OK</v>
          </cell>
        </row>
        <row r="779">
          <cell r="A779" t="str">
            <v>CPU MÃO DE OBRA</v>
          </cell>
          <cell r="B779" t="str">
            <v>MÃO DE OBRA</v>
          </cell>
        </row>
        <row r="780">
          <cell r="A780" t="str">
            <v>CPU 88247</v>
          </cell>
          <cell r="B780">
            <v>88247</v>
          </cell>
          <cell r="C780" t="str">
            <v>AUXILIAR DE ELETRICISTA COM ENCARGOS COMPLEMENTARES</v>
          </cell>
          <cell r="D780" t="str">
            <v>H</v>
          </cell>
          <cell r="E780">
            <v>0.39</v>
          </cell>
        </row>
        <row r="781">
          <cell r="A781" t="str">
            <v>CPU 88264</v>
          </cell>
          <cell r="B781">
            <v>88264</v>
          </cell>
          <cell r="C781" t="str">
            <v>ELETRICISTA COM ENCARGOS COMPLEMENTARES</v>
          </cell>
          <cell r="D781" t="str">
            <v>H</v>
          </cell>
          <cell r="E781">
            <v>0.39</v>
          </cell>
        </row>
        <row r="782">
          <cell r="A782" t="str">
            <v>CPU</v>
          </cell>
        </row>
        <row r="783">
          <cell r="A783" t="str">
            <v>CPU INSUMOS</v>
          </cell>
          <cell r="B783" t="str">
            <v>INSUMOS</v>
          </cell>
        </row>
        <row r="784">
          <cell r="A784" t="str">
            <v>CPU 00004350</v>
          </cell>
          <cell r="B784" t="str">
            <v>00004350</v>
          </cell>
          <cell r="C784" t="str">
            <v>BUCHA DE NYLON SEM ABA S6, COM PARAFUSO DE 4,20 X 40 MM EM ACO ZINCADO COM ROSCA SOBERBA, CABECA CHATA E FENDA PHILLIPS</v>
          </cell>
          <cell r="D784" t="str">
            <v>UND</v>
          </cell>
          <cell r="E784">
            <v>2</v>
          </cell>
        </row>
        <row r="785">
          <cell r="A785" t="str">
            <v>CPU COT</v>
          </cell>
          <cell r="B785" t="str">
            <v>COT</v>
          </cell>
          <cell r="C785" t="str">
            <v>CONDULETE GALVANIZADO TIPO L P/ ELETRODUTO 2"</v>
          </cell>
          <cell r="D785" t="str">
            <v>UND</v>
          </cell>
          <cell r="E785">
            <v>1</v>
          </cell>
        </row>
        <row r="786">
          <cell r="A786" t="str">
            <v>CPU</v>
          </cell>
        </row>
        <row r="787">
          <cell r="A787" t="str">
            <v>CPU REFERÊNCIA:</v>
          </cell>
          <cell r="B787" t="str">
            <v>REFERÊNCIA:</v>
          </cell>
          <cell r="C787" t="str">
            <v>95789 - SINAPI</v>
          </cell>
        </row>
        <row r="788">
          <cell r="A788" t="str">
            <v>CPU 74</v>
          </cell>
          <cell r="B788">
            <v>74</v>
          </cell>
          <cell r="C788" t="str">
            <v>CONDULETE GALVANIZADO TIPO T P/ ELETRODUTO 2"</v>
          </cell>
          <cell r="F788" t="str">
            <v>OK</v>
          </cell>
        </row>
        <row r="789">
          <cell r="A789" t="str">
            <v>CPU MÃO DE OBRA</v>
          </cell>
          <cell r="B789" t="str">
            <v>MÃO DE OBRA</v>
          </cell>
        </row>
        <row r="790">
          <cell r="A790" t="str">
            <v>CPU 88247</v>
          </cell>
          <cell r="B790">
            <v>88247</v>
          </cell>
          <cell r="C790" t="str">
            <v>AUXILIAR DE ELETRICISTA COM ENCARGOS COMPLEMENTARES</v>
          </cell>
          <cell r="D790" t="str">
            <v>H</v>
          </cell>
          <cell r="E790">
            <v>0.45</v>
          </cell>
        </row>
        <row r="791">
          <cell r="A791" t="str">
            <v>CPU 88264</v>
          </cell>
          <cell r="B791">
            <v>88264</v>
          </cell>
          <cell r="C791" t="str">
            <v>ELETRICISTA COM ENCARGOS COMPLEMENTARES</v>
          </cell>
          <cell r="D791" t="str">
            <v>H</v>
          </cell>
          <cell r="E791">
            <v>0.45</v>
          </cell>
        </row>
        <row r="792">
          <cell r="A792" t="str">
            <v>CPU</v>
          </cell>
        </row>
        <row r="793">
          <cell r="A793" t="str">
            <v>CPU INSUMOS</v>
          </cell>
          <cell r="B793" t="str">
            <v>INSUMOS</v>
          </cell>
        </row>
        <row r="794">
          <cell r="A794" t="str">
            <v>CPU COT</v>
          </cell>
          <cell r="B794" t="str">
            <v>COT</v>
          </cell>
          <cell r="C794" t="str">
            <v>BUCHA DE NYLON SEM ABA S6, COM PARAFUSO DE 4,20 X 40 MM EM ACO ZINCADO COM ROSCA SOBERBA, CABECA CHATA E FENDA PHILLIPS</v>
          </cell>
          <cell r="D794" t="str">
            <v>UND</v>
          </cell>
          <cell r="E794">
            <v>2</v>
          </cell>
        </row>
        <row r="795">
          <cell r="A795" t="str">
            <v>CPU 00002586</v>
          </cell>
          <cell r="B795" t="str">
            <v>00002586</v>
          </cell>
          <cell r="C795" t="str">
            <v>CONDULETE DE ALUMINIO TIPO T, PARA ELETRODUTO ROSCAVEL DE 2"</v>
          </cell>
          <cell r="D795" t="str">
            <v>UND</v>
          </cell>
          <cell r="E795">
            <v>1</v>
          </cell>
        </row>
        <row r="796">
          <cell r="A796" t="str">
            <v>CPU</v>
          </cell>
        </row>
        <row r="797">
          <cell r="A797" t="str">
            <v>CPU REFERÊNCIA:</v>
          </cell>
          <cell r="B797" t="str">
            <v>REFERÊNCIA:</v>
          </cell>
          <cell r="C797" t="str">
            <v>95796 - SINAPI</v>
          </cell>
        </row>
        <row r="798">
          <cell r="A798" t="str">
            <v>CPU 75</v>
          </cell>
          <cell r="B798">
            <v>75</v>
          </cell>
          <cell r="C798" t="str">
            <v>CONECTOR - 28MMX1" - ÁGUA QUENTE</v>
          </cell>
          <cell r="F798" t="str">
            <v>OK</v>
          </cell>
        </row>
        <row r="799">
          <cell r="A799" t="str">
            <v>CPU MÃO DE OBRA</v>
          </cell>
          <cell r="B799" t="str">
            <v>MÃO DE OBRA</v>
          </cell>
        </row>
        <row r="800">
          <cell r="A800" t="str">
            <v>CPU 88267</v>
          </cell>
          <cell r="B800">
            <v>88267</v>
          </cell>
          <cell r="C800" t="str">
            <v>ENCANADOR OU BOMBEIRO HIDRÁULICO COM ENCARGOS COMPLEMENTARES</v>
          </cell>
          <cell r="D800" t="str">
            <v>H</v>
          </cell>
          <cell r="E800">
            <v>3.58</v>
          </cell>
        </row>
        <row r="801">
          <cell r="A801" t="str">
            <v>CPU 101384</v>
          </cell>
          <cell r="B801">
            <v>101384</v>
          </cell>
          <cell r="C801" t="str">
            <v>AUXILIAR DE ENCANADOR OU BOMBEIRO HIDRÁULICO COM ENCARGOS COMPLEMENTARES</v>
          </cell>
          <cell r="D801" t="str">
            <v>H</v>
          </cell>
          <cell r="E801">
            <v>2.99</v>
          </cell>
        </row>
        <row r="802">
          <cell r="A802" t="str">
            <v>CPU</v>
          </cell>
        </row>
        <row r="803">
          <cell r="A803" t="str">
            <v>CPU INSUMOS</v>
          </cell>
          <cell r="B803" t="str">
            <v>INSUMOS</v>
          </cell>
        </row>
        <row r="804">
          <cell r="A804" t="str">
            <v>CPU 3148</v>
          </cell>
          <cell r="B804">
            <v>3148</v>
          </cell>
          <cell r="C804" t="str">
            <v>FITA VEDA ROSCA EM ROLOS DE 18 MM X 50 M (L X C)</v>
          </cell>
          <cell r="D804" t="str">
            <v>UND</v>
          </cell>
          <cell r="E804">
            <v>4.1999999999999997E-3</v>
          </cell>
        </row>
        <row r="805">
          <cell r="A805" t="str">
            <v>CPU 12732</v>
          </cell>
          <cell r="B805">
            <v>12732</v>
          </cell>
          <cell r="C805" t="str">
            <v>SOLDA ESTANHO/COBRE PARA CONEXOES DE COBRE, FIO 2,5 MM, CARRETEL 500 GR (SEM CHUMBO)</v>
          </cell>
          <cell r="D805" t="str">
            <v>UND</v>
          </cell>
          <cell r="E805">
            <v>3.2000000000000002E-3</v>
          </cell>
        </row>
        <row r="806">
          <cell r="A806" t="str">
            <v>CPU 38383</v>
          </cell>
          <cell r="B806">
            <v>38383</v>
          </cell>
          <cell r="C806" t="str">
            <v>LIXA D'AGUA EM FOLHA, GRAO 100</v>
          </cell>
          <cell r="D806" t="str">
            <v>UND</v>
          </cell>
          <cell r="E806">
            <v>3.5999999999999997E-2</v>
          </cell>
        </row>
        <row r="807">
          <cell r="A807" t="str">
            <v>CPU 39897</v>
          </cell>
          <cell r="B807">
            <v>39897</v>
          </cell>
          <cell r="C807" t="str">
            <v>PASTA PARA SOLDA DE TUBOS E CONEXOES DE COBRE (EMBALAGEM COM 250 G)</v>
          </cell>
          <cell r="D807" t="str">
            <v>UND</v>
          </cell>
          <cell r="E807">
            <v>8.0000000000000004E-4</v>
          </cell>
        </row>
        <row r="808">
          <cell r="A808" t="str">
            <v>CPU COT</v>
          </cell>
          <cell r="B808" t="str">
            <v>COT</v>
          </cell>
          <cell r="C808" t="str">
            <v>CONECTOR - 28MMX1" - ÁGUA QUENTE</v>
          </cell>
          <cell r="D808" t="str">
            <v>UND</v>
          </cell>
          <cell r="E808">
            <v>1</v>
          </cell>
        </row>
        <row r="809">
          <cell r="A809" t="str">
            <v>CPU REFERÊNCIA:</v>
          </cell>
          <cell r="B809" t="str">
            <v>REFERÊNCIA:</v>
          </cell>
          <cell r="C809" t="str">
            <v>103899 - SINAPI</v>
          </cell>
        </row>
        <row r="810">
          <cell r="A810" t="str">
            <v>CPU 76</v>
          </cell>
          <cell r="B810">
            <v>76</v>
          </cell>
          <cell r="C810" t="str">
            <v>CONECTOR - RJ45 (CM8V) CAT 6, PARA PATCH PANEL (KEYSTONE)</v>
          </cell>
          <cell r="F810" t="str">
            <v>OK</v>
          </cell>
        </row>
        <row r="811">
          <cell r="A811" t="str">
            <v>CPU MÃO DE OBRA</v>
          </cell>
          <cell r="B811" t="str">
            <v>MÃO DE OBRA</v>
          </cell>
        </row>
        <row r="812">
          <cell r="A812" t="str">
            <v>CPU 88247</v>
          </cell>
          <cell r="B812">
            <v>88247</v>
          </cell>
          <cell r="C812" t="str">
            <v>AUXILIAR DE ELETRICISTA COM ENCARGOS COMPLEMENTARES</v>
          </cell>
          <cell r="D812" t="str">
            <v>H</v>
          </cell>
          <cell r="E812">
            <v>0.24299999999999999</v>
          </cell>
        </row>
        <row r="813">
          <cell r="A813" t="str">
            <v>CPU</v>
          </cell>
        </row>
        <row r="814">
          <cell r="A814" t="str">
            <v>CPU</v>
          </cell>
        </row>
        <row r="815">
          <cell r="A815" t="str">
            <v>CPU INSUMOS</v>
          </cell>
          <cell r="B815" t="str">
            <v>INSUMOS</v>
          </cell>
        </row>
        <row r="816">
          <cell r="A816" t="str">
            <v>CPU COT</v>
          </cell>
          <cell r="B816" t="str">
            <v>COT</v>
          </cell>
          <cell r="C816" t="str">
            <v>CONECTOR - RJ45 (CM8V) CAT 6, PARA PATCH PANEL (KEYSTONE)</v>
          </cell>
          <cell r="D816" t="str">
            <v>UND</v>
          </cell>
          <cell r="E816">
            <v>1</v>
          </cell>
        </row>
        <row r="817">
          <cell r="A817" t="str">
            <v>CPU</v>
          </cell>
        </row>
        <row r="818">
          <cell r="A818" t="str">
            <v>CPU</v>
          </cell>
        </row>
        <row r="819">
          <cell r="A819" t="str">
            <v>CPU REFERÊNCIA:</v>
          </cell>
          <cell r="B819" t="str">
            <v>REFERÊNCIA:</v>
          </cell>
          <cell r="C819" t="str">
            <v>061359 - SBC</v>
          </cell>
        </row>
        <row r="820">
          <cell r="A820" t="str">
            <v>CPU 77</v>
          </cell>
          <cell r="B820">
            <v>77</v>
          </cell>
          <cell r="C820" t="str">
            <v>CONECTOR COMP ALUM 2/0-4/0/ 1,5- 10MM2</v>
          </cell>
          <cell r="F820" t="str">
            <v>OK</v>
          </cell>
        </row>
        <row r="821">
          <cell r="A821" t="str">
            <v>CPU MÃO DE OBRA</v>
          </cell>
          <cell r="B821" t="str">
            <v>MÃO DE OBRA</v>
          </cell>
        </row>
        <row r="822">
          <cell r="A822" t="str">
            <v>CPU 88247</v>
          </cell>
          <cell r="B822">
            <v>88247</v>
          </cell>
          <cell r="C822" t="str">
            <v>AUXILIAR DE ELETRICISTA COM ENCARGOS COMPLEMENTARES</v>
          </cell>
          <cell r="D822" t="str">
            <v>H</v>
          </cell>
          <cell r="E822">
            <v>0.4</v>
          </cell>
        </row>
        <row r="823">
          <cell r="A823" t="str">
            <v>CPU 88264</v>
          </cell>
          <cell r="B823">
            <v>88264</v>
          </cell>
          <cell r="C823" t="str">
            <v>ELETRICISTA COM ENCARGOS COMPLEMENTARES</v>
          </cell>
          <cell r="D823" t="str">
            <v>H</v>
          </cell>
          <cell r="E823">
            <v>0.4</v>
          </cell>
        </row>
        <row r="824">
          <cell r="A824" t="str">
            <v>CPU</v>
          </cell>
        </row>
        <row r="825">
          <cell r="A825" t="str">
            <v>CPU INSUMOS</v>
          </cell>
          <cell r="B825" t="str">
            <v>INSUMOS</v>
          </cell>
        </row>
        <row r="826">
          <cell r="A826" t="str">
            <v>CPU COT</v>
          </cell>
          <cell r="B826" t="str">
            <v>COT</v>
          </cell>
          <cell r="C826" t="str">
            <v>CONECTOR COMP ALUM 2/0-4/0/ 1,5- 10MM2</v>
          </cell>
          <cell r="D826" t="str">
            <v>UND</v>
          </cell>
          <cell r="E826">
            <v>1</v>
          </cell>
        </row>
        <row r="827">
          <cell r="A827" t="str">
            <v>CPU</v>
          </cell>
        </row>
        <row r="828">
          <cell r="A828" t="str">
            <v>CPU</v>
          </cell>
        </row>
        <row r="829">
          <cell r="A829" t="str">
            <v>CPU REFERÊNCIA:</v>
          </cell>
          <cell r="B829" t="str">
            <v>REFERÊNCIA:</v>
          </cell>
          <cell r="C829" t="str">
            <v>071016 - AGETOP</v>
          </cell>
        </row>
        <row r="830">
          <cell r="A830" t="str">
            <v>CPU 78</v>
          </cell>
          <cell r="B830">
            <v>78</v>
          </cell>
          <cell r="C830" t="str">
            <v>CONECTOR COMP COBRE 1/0-2/0/ F8- 2AWG</v>
          </cell>
          <cell r="F830" t="str">
            <v>OK</v>
          </cell>
        </row>
        <row r="831">
          <cell r="A831" t="str">
            <v>CPU MÃO DE OBRA</v>
          </cell>
          <cell r="B831" t="str">
            <v>MÃO DE OBRA</v>
          </cell>
        </row>
        <row r="832">
          <cell r="A832" t="str">
            <v>CPU 88247</v>
          </cell>
          <cell r="B832">
            <v>88247</v>
          </cell>
          <cell r="C832" t="str">
            <v>AUXILIAR DE ELETRICISTA COM ENCARGOS COMPLEMENTARES</v>
          </cell>
          <cell r="D832" t="str">
            <v>H</v>
          </cell>
          <cell r="E832">
            <v>0.4</v>
          </cell>
        </row>
        <row r="833">
          <cell r="A833" t="str">
            <v>CPU 88264</v>
          </cell>
          <cell r="B833">
            <v>88264</v>
          </cell>
          <cell r="C833" t="str">
            <v>ELETRICISTA COM ENCARGOS COMPLEMENTARES</v>
          </cell>
          <cell r="D833" t="str">
            <v>H</v>
          </cell>
          <cell r="E833">
            <v>0.4</v>
          </cell>
        </row>
        <row r="834">
          <cell r="A834" t="str">
            <v>CPU</v>
          </cell>
        </row>
        <row r="835">
          <cell r="A835" t="str">
            <v>CPU INSUMOS</v>
          </cell>
          <cell r="B835" t="str">
            <v>INSUMOS</v>
          </cell>
        </row>
        <row r="836">
          <cell r="A836" t="str">
            <v>CPU COT</v>
          </cell>
          <cell r="B836" t="str">
            <v>COT</v>
          </cell>
          <cell r="C836" t="str">
            <v>CONECTOR COMP COBRE 1/0-2/0/ F8- 2AWG</v>
          </cell>
          <cell r="D836" t="str">
            <v>UND</v>
          </cell>
          <cell r="E836">
            <v>1</v>
          </cell>
        </row>
        <row r="837">
          <cell r="A837" t="str">
            <v>CPU</v>
          </cell>
        </row>
        <row r="838">
          <cell r="A838" t="str">
            <v>CPU</v>
          </cell>
        </row>
        <row r="839">
          <cell r="A839" t="str">
            <v>CPU REFERÊNCIA:</v>
          </cell>
          <cell r="B839" t="str">
            <v>REFERÊNCIA:</v>
          </cell>
          <cell r="C839" t="str">
            <v>071016 - AGETOP</v>
          </cell>
        </row>
        <row r="840">
          <cell r="A840" t="str">
            <v>CPU 79</v>
          </cell>
          <cell r="B840">
            <v>79</v>
          </cell>
          <cell r="C840" t="str">
            <v>CONECTOR DE PRESSÃO TIPO SPLI-BOLT EM LIGA DE COBRE ESTANHADO PARA CABOS DE COBRE DE #35MM²</v>
          </cell>
          <cell r="F840" t="str">
            <v>OK</v>
          </cell>
        </row>
        <row r="841">
          <cell r="A841" t="str">
            <v>CPU MÃO DE OBRA</v>
          </cell>
          <cell r="B841" t="str">
            <v>MÃO DE OBRA</v>
          </cell>
        </row>
        <row r="842">
          <cell r="A842" t="str">
            <v>CPU 88264</v>
          </cell>
          <cell r="B842">
            <v>88264</v>
          </cell>
          <cell r="C842" t="str">
            <v>ELETRICISTA COM ENCARGOS COMPLEMENTARES</v>
          </cell>
          <cell r="D842" t="str">
            <v>H</v>
          </cell>
          <cell r="E842">
            <v>5.6000000000000001E-2</v>
          </cell>
        </row>
        <row r="843">
          <cell r="A843" t="str">
            <v>CPU</v>
          </cell>
        </row>
        <row r="844">
          <cell r="A844" t="str">
            <v>CPU</v>
          </cell>
        </row>
        <row r="845">
          <cell r="A845" t="str">
            <v>CPU INSUMOS</v>
          </cell>
          <cell r="B845" t="str">
            <v>INSUMOS</v>
          </cell>
        </row>
        <row r="846">
          <cell r="A846" t="str">
            <v>CPU COT</v>
          </cell>
          <cell r="B846" t="str">
            <v>COT</v>
          </cell>
          <cell r="C846" t="str">
            <v>CONECTOR DE PRESSÃO TIPO SPLI-BOLT EM LIGA DE COBRE ESTANHADO PARA CABOS DE COBRE DE #35MM²</v>
          </cell>
          <cell r="D846" t="str">
            <v>UND</v>
          </cell>
          <cell r="E846">
            <v>1</v>
          </cell>
        </row>
        <row r="847">
          <cell r="A847" t="str">
            <v>CPU</v>
          </cell>
        </row>
        <row r="848">
          <cell r="A848" t="str">
            <v>CPU</v>
          </cell>
        </row>
        <row r="849">
          <cell r="A849" t="str">
            <v>CPU REFERÊNCIA:</v>
          </cell>
          <cell r="B849" t="str">
            <v>REFERÊNCIA:</v>
          </cell>
          <cell r="C849" t="str">
            <v>9900 - ORSE</v>
          </cell>
        </row>
        <row r="850">
          <cell r="A850" t="str">
            <v>CPU 80</v>
          </cell>
          <cell r="B850">
            <v>80</v>
          </cell>
          <cell r="C850" t="str">
            <v>CONECTOR DERIVAÇÃO, COMPRESSÃO, PARALELO, FORMATO "H" PARA CONDUTORES CA-CAA E COBRE</v>
          </cell>
          <cell r="F850" t="str">
            <v>OK</v>
          </cell>
        </row>
        <row r="851">
          <cell r="A851" t="str">
            <v>CPU MÃO DE OBRA</v>
          </cell>
          <cell r="B851" t="str">
            <v>MÃO DE OBRA</v>
          </cell>
        </row>
        <row r="852">
          <cell r="A852" t="str">
            <v>CPU 88247</v>
          </cell>
          <cell r="B852">
            <v>88247</v>
          </cell>
          <cell r="C852" t="str">
            <v>AUXILIAR DE ELETRICISTA COM ENCARGOS COMPLEMENTARES</v>
          </cell>
          <cell r="D852" t="str">
            <v>H</v>
          </cell>
          <cell r="E852">
            <v>0.4</v>
          </cell>
        </row>
        <row r="853">
          <cell r="A853" t="str">
            <v>CPU 88264</v>
          </cell>
          <cell r="B853">
            <v>88264</v>
          </cell>
          <cell r="C853" t="str">
            <v>ELETRICISTA COM ENCARGOS COMPLEMENTARES</v>
          </cell>
          <cell r="D853" t="str">
            <v>H</v>
          </cell>
          <cell r="E853">
            <v>0.4</v>
          </cell>
        </row>
        <row r="854">
          <cell r="A854" t="str">
            <v>CPU</v>
          </cell>
        </row>
        <row r="855">
          <cell r="A855" t="str">
            <v>CPU INSUMOS</v>
          </cell>
          <cell r="B855" t="str">
            <v>INSUMOS</v>
          </cell>
        </row>
        <row r="856">
          <cell r="A856" t="str">
            <v>CPU COT</v>
          </cell>
          <cell r="B856" t="str">
            <v>COT</v>
          </cell>
          <cell r="C856" t="str">
            <v>CONECTOR DERIVAÇÃO, COMPRESSÃO, PARALELO, FORMATO "H" PARA CONDUTORES CA-CAA E COBRE</v>
          </cell>
          <cell r="D856" t="str">
            <v>UND</v>
          </cell>
          <cell r="E856">
            <v>1</v>
          </cell>
        </row>
        <row r="857">
          <cell r="A857" t="str">
            <v>CPU</v>
          </cell>
        </row>
        <row r="858">
          <cell r="A858" t="str">
            <v>CPU</v>
          </cell>
        </row>
        <row r="859">
          <cell r="A859" t="str">
            <v>CPU REFERÊNCIA:</v>
          </cell>
          <cell r="B859" t="str">
            <v>REFERÊNCIA:</v>
          </cell>
          <cell r="C859" t="str">
            <v>071016 - AGETOP</v>
          </cell>
        </row>
        <row r="860">
          <cell r="A860" t="str">
            <v>CPU 81</v>
          </cell>
          <cell r="B860">
            <v>81</v>
          </cell>
          <cell r="C860" t="str">
            <v>CONECTOR MACHO RJ - 45, CATEGORIA 6</v>
          </cell>
        </row>
        <row r="861">
          <cell r="A861" t="str">
            <v>CPU MÃO DE OBRA</v>
          </cell>
          <cell r="B861" t="str">
            <v>MÃO DE OBRA</v>
          </cell>
        </row>
        <row r="862">
          <cell r="A862" t="str">
            <v>CPU 88316</v>
          </cell>
          <cell r="B862">
            <v>88316</v>
          </cell>
          <cell r="C862" t="str">
            <v>SERVENTE COM ENCARGOS COMPLEMENTARES</v>
          </cell>
          <cell r="D862" t="str">
            <v>H</v>
          </cell>
          <cell r="E862">
            <v>0.1</v>
          </cell>
        </row>
        <row r="863">
          <cell r="A863" t="str">
            <v>CPU 242</v>
          </cell>
          <cell r="B863">
            <v>242</v>
          </cell>
          <cell r="C863" t="str">
            <v>AJUDANTE ESPECIALIZADO</v>
          </cell>
          <cell r="D863" t="str">
            <v>H</v>
          </cell>
          <cell r="E863">
            <v>0.1</v>
          </cell>
        </row>
        <row r="864">
          <cell r="A864" t="str">
            <v>CPU</v>
          </cell>
        </row>
        <row r="865">
          <cell r="A865" t="str">
            <v>CPU INSUMOS</v>
          </cell>
          <cell r="B865" t="str">
            <v>INSUMOS</v>
          </cell>
        </row>
        <row r="866">
          <cell r="A866" t="str">
            <v>CPU COT</v>
          </cell>
          <cell r="B866" t="str">
            <v>COT</v>
          </cell>
          <cell r="C866" t="str">
            <v>CONECTOR MACHO RJ - 45, CATEGORIA 6</v>
          </cell>
          <cell r="D866" t="str">
            <v>UND</v>
          </cell>
          <cell r="E866">
            <v>1</v>
          </cell>
        </row>
        <row r="867">
          <cell r="A867" t="str">
            <v>CPU</v>
          </cell>
        </row>
        <row r="868">
          <cell r="A868" t="str">
            <v>CPU</v>
          </cell>
        </row>
        <row r="869">
          <cell r="A869" t="str">
            <v>CPU REFERÊNCIA:</v>
          </cell>
          <cell r="B869" t="str">
            <v>REFERÊNCIA:</v>
          </cell>
          <cell r="C869" t="str">
            <v>11242 - ORSE</v>
          </cell>
        </row>
        <row r="870">
          <cell r="A870" t="str">
            <v>CPU 82</v>
          </cell>
          <cell r="B870">
            <v>82</v>
          </cell>
          <cell r="C870" t="str">
            <v>CONECTOR MINI-GAR EM BRONZE ESTANHADO PARA CONEXÃO ENTRE UM CABO 16 A 50 MM² E O RE-BAR TEL 583 OU EQUIVALENTE TÉCNICO</v>
          </cell>
          <cell r="F870" t="str">
            <v>OK</v>
          </cell>
        </row>
        <row r="871">
          <cell r="A871" t="str">
            <v>CPU MÃO DE OBRA</v>
          </cell>
          <cell r="B871" t="str">
            <v>MÃO DE OBRA</v>
          </cell>
        </row>
        <row r="872">
          <cell r="A872" t="str">
            <v>CPU 88247</v>
          </cell>
          <cell r="B872">
            <v>88247</v>
          </cell>
          <cell r="C872" t="str">
            <v>AUXILIAR DE ELETRICISTA COM ENCARGOS COMPLEMENTARES</v>
          </cell>
          <cell r="D872" t="str">
            <v>H</v>
          </cell>
          <cell r="E872">
            <v>0.35099999999999998</v>
          </cell>
          <cell r="F872">
            <v>43.7</v>
          </cell>
        </row>
        <row r="873">
          <cell r="A873" t="str">
            <v>CPU 88264</v>
          </cell>
          <cell r="B873">
            <v>88264</v>
          </cell>
          <cell r="C873" t="str">
            <v>ELETRICISTA COM ENCARGOS COMPLEMENTARES</v>
          </cell>
          <cell r="D873" t="str">
            <v>H</v>
          </cell>
          <cell r="E873">
            <v>0.35099999999999998</v>
          </cell>
        </row>
        <row r="874">
          <cell r="A874" t="str">
            <v>CPU</v>
          </cell>
        </row>
        <row r="875">
          <cell r="A875" t="str">
            <v>CPU INSUMOS</v>
          </cell>
          <cell r="B875" t="str">
            <v>INSUMOS</v>
          </cell>
        </row>
        <row r="876">
          <cell r="A876" t="str">
            <v>CPU COT</v>
          </cell>
          <cell r="B876" t="str">
            <v>COT</v>
          </cell>
          <cell r="C876" t="str">
            <v>CONECTOR MINI-GAR EM BRONZE ESTANHADO PARA CONEXÃO ENTRE UM CABO 16 A 50 MM²</v>
          </cell>
          <cell r="D876" t="str">
            <v>UND</v>
          </cell>
          <cell r="E876">
            <v>1</v>
          </cell>
        </row>
        <row r="877">
          <cell r="A877" t="str">
            <v>CPU</v>
          </cell>
        </row>
        <row r="878">
          <cell r="A878" t="str">
            <v>CPU</v>
          </cell>
        </row>
        <row r="879">
          <cell r="A879" t="str">
            <v>CPU REFERÊNCIA:</v>
          </cell>
          <cell r="B879" t="str">
            <v>REFERÊNCIA:</v>
          </cell>
          <cell r="C879" t="str">
            <v>078037 - SBC</v>
          </cell>
        </row>
        <row r="880">
          <cell r="A880" t="str">
            <v>CPU 83</v>
          </cell>
          <cell r="B880">
            <v>83</v>
          </cell>
          <cell r="C880" t="str">
            <v>CONJUNTO DE ESTAIS RÍGIDOS 3MX2" TEL 451 OU EQUIVALENTE TÉCNICO</v>
          </cell>
          <cell r="F880" t="str">
            <v>OK</v>
          </cell>
        </row>
        <row r="881">
          <cell r="A881" t="str">
            <v>CPU MÃO DE OBRA</v>
          </cell>
          <cell r="B881" t="str">
            <v>MÃO DE OBRA</v>
          </cell>
        </row>
        <row r="882">
          <cell r="A882" t="str">
            <v>CPU 88247</v>
          </cell>
          <cell r="B882">
            <v>88247</v>
          </cell>
          <cell r="C882" t="str">
            <v>AUXILIAR DE ELETRICISTA COM ENCARGOS COMPLEMENTARES</v>
          </cell>
          <cell r="D882" t="str">
            <v>H</v>
          </cell>
          <cell r="E882">
            <v>2</v>
          </cell>
        </row>
        <row r="883">
          <cell r="A883" t="str">
            <v>CPU 88264</v>
          </cell>
          <cell r="B883">
            <v>88264</v>
          </cell>
          <cell r="C883" t="str">
            <v>ELETRICISTA COM ENCARGOS COMPLEMENTARES</v>
          </cell>
          <cell r="D883" t="str">
            <v>H</v>
          </cell>
          <cell r="E883">
            <v>2</v>
          </cell>
        </row>
        <row r="884">
          <cell r="A884" t="str">
            <v>CPU</v>
          </cell>
        </row>
        <row r="885">
          <cell r="A885" t="str">
            <v>CPU INSUMOS</v>
          </cell>
          <cell r="B885" t="str">
            <v>INSUMOS</v>
          </cell>
        </row>
        <row r="886">
          <cell r="A886" t="str">
            <v>CPU COT</v>
          </cell>
          <cell r="B886" t="str">
            <v>COT</v>
          </cell>
          <cell r="C886" t="str">
            <v>CONJUNTO DE ESTAIS RÍGIDOS 3MX2" TEL 451 OU EQUIVALENTE TÉCNICO</v>
          </cell>
          <cell r="D886" t="str">
            <v>UND</v>
          </cell>
          <cell r="E886">
            <v>1</v>
          </cell>
        </row>
        <row r="887">
          <cell r="A887" t="str">
            <v>CPU</v>
          </cell>
        </row>
        <row r="888">
          <cell r="A888" t="str">
            <v>CPU</v>
          </cell>
        </row>
        <row r="889">
          <cell r="A889" t="str">
            <v>CPU REFERÊNCIA:</v>
          </cell>
          <cell r="B889" t="str">
            <v>REFERÊNCIA:</v>
          </cell>
          <cell r="C889" t="str">
            <v>1201006030 - AGESUL</v>
          </cell>
        </row>
        <row r="890">
          <cell r="A890" t="str">
            <v>CPU 84</v>
          </cell>
          <cell r="B890">
            <v>84</v>
          </cell>
          <cell r="C890" t="str">
            <v>COTOVELO RETO - 50X25MM CHAPA 18</v>
          </cell>
          <cell r="F890" t="str">
            <v>OK</v>
          </cell>
        </row>
        <row r="891">
          <cell r="A891" t="str">
            <v>CPU MÃO DE OBRA</v>
          </cell>
          <cell r="B891" t="str">
            <v>MÃO DE OBRA</v>
          </cell>
        </row>
        <row r="892">
          <cell r="A892" t="str">
            <v>CPU 88264</v>
          </cell>
          <cell r="B892">
            <v>88264</v>
          </cell>
          <cell r="C892" t="str">
            <v>ELETRICISTA COM ENCARGOS COMPLEMENTARES</v>
          </cell>
          <cell r="D892" t="str">
            <v>H</v>
          </cell>
          <cell r="E892">
            <v>0.5</v>
          </cell>
        </row>
        <row r="893">
          <cell r="A893" t="str">
            <v>CPU 88316</v>
          </cell>
          <cell r="B893">
            <v>88316</v>
          </cell>
          <cell r="C893" t="str">
            <v>SERVENTE COM ENCARGOS COMPLEMENTARES</v>
          </cell>
          <cell r="D893" t="str">
            <v>H</v>
          </cell>
          <cell r="E893">
            <v>0.5</v>
          </cell>
        </row>
        <row r="894">
          <cell r="A894" t="str">
            <v>CPU</v>
          </cell>
        </row>
        <row r="895">
          <cell r="A895" t="str">
            <v>CPU INSUMOS</v>
          </cell>
          <cell r="B895" t="str">
            <v>INSUMOS</v>
          </cell>
        </row>
        <row r="896">
          <cell r="A896" t="str">
            <v>CPU COT</v>
          </cell>
          <cell r="B896" t="str">
            <v>COT</v>
          </cell>
          <cell r="C896" t="str">
            <v>COTOVELO RETO - 50X25MM CHAPA 18</v>
          </cell>
          <cell r="D896" t="str">
            <v>UND</v>
          </cell>
          <cell r="E896">
            <v>1</v>
          </cell>
        </row>
        <row r="897">
          <cell r="A897" t="str">
            <v>CPU</v>
          </cell>
        </row>
        <row r="898">
          <cell r="A898" t="str">
            <v>CPU</v>
          </cell>
        </row>
        <row r="899">
          <cell r="A899" t="str">
            <v>CPU REFERÊNCIA:</v>
          </cell>
          <cell r="B899" t="str">
            <v>REFERÊNCIA:</v>
          </cell>
          <cell r="C899" t="str">
            <v>15.018.0808-0 - EMOP</v>
          </cell>
        </row>
        <row r="900">
          <cell r="A900" t="str">
            <v>CPU 85</v>
          </cell>
          <cell r="B900">
            <v>85</v>
          </cell>
          <cell r="C900" t="str">
            <v>CRUZETA (X) HORIZONTAL 90º - 50X25MM CHAPA 18</v>
          </cell>
          <cell r="F900" t="str">
            <v>OK</v>
          </cell>
        </row>
        <row r="901">
          <cell r="A901" t="str">
            <v>CPU MÃO DE OBRA</v>
          </cell>
          <cell r="B901" t="str">
            <v>MÃO DE OBRA</v>
          </cell>
        </row>
        <row r="902">
          <cell r="A902" t="str">
            <v>CPU 88264</v>
          </cell>
          <cell r="B902">
            <v>88264</v>
          </cell>
          <cell r="C902" t="str">
            <v>ELETRICISTA COM ENCARGOS COMPLEMENTARES</v>
          </cell>
          <cell r="D902" t="str">
            <v>H</v>
          </cell>
          <cell r="E902">
            <v>0.2</v>
          </cell>
        </row>
        <row r="903">
          <cell r="A903" t="str">
            <v>CPU 88316</v>
          </cell>
          <cell r="B903">
            <v>88316</v>
          </cell>
          <cell r="C903" t="str">
            <v>SERVENTE COM ENCARGOS COMPLEMENTARES</v>
          </cell>
          <cell r="D903" t="str">
            <v>H</v>
          </cell>
          <cell r="E903">
            <v>0.2</v>
          </cell>
        </row>
        <row r="904">
          <cell r="A904" t="str">
            <v>CPU</v>
          </cell>
        </row>
        <row r="905">
          <cell r="A905" t="str">
            <v>CPU INSUMOS</v>
          </cell>
          <cell r="B905" t="str">
            <v>INSUMOS</v>
          </cell>
        </row>
        <row r="906">
          <cell r="A906" t="str">
            <v>CPU COT</v>
          </cell>
          <cell r="B906" t="str">
            <v>COT</v>
          </cell>
          <cell r="C906" t="str">
            <v>CRUZETA (X) HORIZONTAL 90º - 50X25MM CHAPA 18</v>
          </cell>
          <cell r="D906" t="str">
            <v>UND</v>
          </cell>
          <cell r="E906">
            <v>1</v>
          </cell>
        </row>
        <row r="907">
          <cell r="A907" t="str">
            <v>CPU</v>
          </cell>
        </row>
        <row r="908">
          <cell r="A908" t="str">
            <v>CPU</v>
          </cell>
        </row>
        <row r="909">
          <cell r="A909" t="str">
            <v>CPU REFERÊNCIA:</v>
          </cell>
          <cell r="B909" t="str">
            <v>REFERÊNCIA:</v>
          </cell>
          <cell r="C909" t="str">
            <v>8221 - ORSE</v>
          </cell>
        </row>
        <row r="910">
          <cell r="A910" t="str">
            <v>CPU 86</v>
          </cell>
          <cell r="B910">
            <v>86</v>
          </cell>
          <cell r="C910" t="str">
            <v>CUBA DE EMBUTIR REDONDA EM LOUÇA BRANCA, 35 X 35CM OU EQUIVALENTE, INCLUSO VÁLVULA EM METAL CROMADO E SIFÃO FLEXÍVEL EM PVC</v>
          </cell>
          <cell r="F910" t="str">
            <v>OK</v>
          </cell>
        </row>
        <row r="911">
          <cell r="A911" t="str">
            <v>CPU MÃO DE OBRA</v>
          </cell>
          <cell r="B911" t="str">
            <v>MÃO DE OBRA</v>
          </cell>
        </row>
        <row r="912">
          <cell r="A912" t="str">
            <v>CPU 88316</v>
          </cell>
          <cell r="B912">
            <v>88316</v>
          </cell>
          <cell r="C912" t="str">
            <v>SERVENTE COM ENCARGOS COMPLEMENTARES</v>
          </cell>
          <cell r="D912" t="str">
            <v>H</v>
          </cell>
          <cell r="E912">
            <v>1.75</v>
          </cell>
        </row>
        <row r="913">
          <cell r="A913" t="str">
            <v>CPU 88267</v>
          </cell>
          <cell r="B913">
            <v>88267</v>
          </cell>
          <cell r="C913" t="str">
            <v>ENCANADOR OU BOMBEIRO HIDRÁULICO COM ENCARGOS COMPLEMENTARES</v>
          </cell>
          <cell r="D913" t="str">
            <v>H</v>
          </cell>
          <cell r="E913">
            <v>1.75</v>
          </cell>
        </row>
        <row r="914">
          <cell r="A914" t="str">
            <v>CPU</v>
          </cell>
        </row>
        <row r="915">
          <cell r="A915" t="str">
            <v>CPU INSUMOS</v>
          </cell>
          <cell r="B915" t="str">
            <v>INSUMOS</v>
          </cell>
        </row>
        <row r="916">
          <cell r="A916" t="str">
            <v>CPU COT</v>
          </cell>
          <cell r="B916" t="str">
            <v>COT</v>
          </cell>
          <cell r="C916" t="str">
            <v>Sifão para pia de cozinha ou tanque, DECA ref. 1680.C112, acabamento cromado 1 1/2 x 1 1/2 ou similar.</v>
          </cell>
          <cell r="D916" t="str">
            <v>UND</v>
          </cell>
          <cell r="E916">
            <v>1</v>
          </cell>
        </row>
        <row r="917">
          <cell r="A917" t="str">
            <v>CPU COT</v>
          </cell>
          <cell r="B917" t="str">
            <v>COT</v>
          </cell>
          <cell r="C917" t="str">
            <v>Cuba de embutir, circular, ref:10129, CELITE ou similar</v>
          </cell>
          <cell r="D917" t="str">
            <v>UND</v>
          </cell>
          <cell r="E917">
            <v>1</v>
          </cell>
        </row>
        <row r="918">
          <cell r="A918" t="str">
            <v>CPU COT</v>
          </cell>
          <cell r="B918" t="str">
            <v>COT</v>
          </cell>
          <cell r="C918" t="str">
            <v>Valvula em metal cromado para pia americana 3.1/2 x 1.1/2 "</v>
          </cell>
          <cell r="D918" t="str">
            <v>UND</v>
          </cell>
          <cell r="E918">
            <v>1</v>
          </cell>
        </row>
        <row r="919">
          <cell r="A919" t="str">
            <v>CPU REFERÊNCIA:</v>
          </cell>
          <cell r="B919" t="str">
            <v>REFERÊNCIA:</v>
          </cell>
          <cell r="C919" t="str">
            <v>4768 - ORSE</v>
          </cell>
        </row>
        <row r="920">
          <cell r="A920" t="str">
            <v>CPU 87</v>
          </cell>
          <cell r="B920">
            <v>87</v>
          </cell>
          <cell r="C920" t="str">
            <v>CUBA DE SEMIENCAIXE EM LOUÇA BRANCA, 42 X 42 CM OU EQUIVALENTE, INCLUSO VÁLVULA EM METAL CROMADO E SIFÃO FLEXÍVEL EM PVC - FORNECIMENTO E INSTALAÇÃO.</v>
          </cell>
          <cell r="F920" t="str">
            <v>OK</v>
          </cell>
        </row>
        <row r="921">
          <cell r="A921" t="str">
            <v>CPU MÃO DE OBRA</v>
          </cell>
          <cell r="B921" t="str">
            <v>MÃO DE OBRA</v>
          </cell>
        </row>
        <row r="922">
          <cell r="A922" t="str">
            <v>CPU 88316</v>
          </cell>
          <cell r="B922">
            <v>88316</v>
          </cell>
          <cell r="C922" t="str">
            <v>SERVENTE COM ENCARGOS COMPLEMENTARES</v>
          </cell>
          <cell r="D922" t="str">
            <v>H</v>
          </cell>
          <cell r="E922">
            <v>2.5999999999999999E-2</v>
          </cell>
        </row>
        <row r="923">
          <cell r="A923" t="str">
            <v>CPU 88267</v>
          </cell>
          <cell r="B923">
            <v>88267</v>
          </cell>
          <cell r="C923" t="str">
            <v>ENCANADOR OU BOMBEIRO HIDRÁULICO COM ENCARGOS COMPLEMENTARES</v>
          </cell>
          <cell r="D923" t="str">
            <v>H</v>
          </cell>
          <cell r="E923">
            <v>0.93</v>
          </cell>
        </row>
        <row r="924">
          <cell r="A924" t="str">
            <v>CPU 101384</v>
          </cell>
          <cell r="B924">
            <v>101384</v>
          </cell>
          <cell r="C924" t="str">
            <v>AUXILIAR DE ENCANADOR OU BOMBEIRO HIDRÁULICO COM ENCARGOS COMPLEMENTARES</v>
          </cell>
          <cell r="D924" t="str">
            <v>H</v>
          </cell>
          <cell r="E924">
            <v>0.26</v>
          </cell>
        </row>
        <row r="925">
          <cell r="A925" t="str">
            <v>CPU INSUMOS</v>
          </cell>
          <cell r="B925" t="str">
            <v>INSUMOS</v>
          </cell>
        </row>
        <row r="926">
          <cell r="A926" t="str">
            <v>CPU COT</v>
          </cell>
          <cell r="B926" t="str">
            <v>COT</v>
          </cell>
          <cell r="C926" t="str">
            <v>FITA VEDA ROSCA EM ROLOS DE 18 MM X 50 M (L X C) - SINAPI - 00003148</v>
          </cell>
          <cell r="D926" t="str">
            <v>UND</v>
          </cell>
          <cell r="E926">
            <v>3.3000000000000002E-2</v>
          </cell>
        </row>
        <row r="927">
          <cell r="A927" t="str">
            <v>CPU COT</v>
          </cell>
          <cell r="B927" t="str">
            <v>COT</v>
          </cell>
          <cell r="C927" t="str">
            <v>SIFAO TIPO COPO COM CORPO FLEXIVEL DE 1"X 11/2" EM PVC CROMADO</v>
          </cell>
          <cell r="D927" t="str">
            <v>UND</v>
          </cell>
          <cell r="E927">
            <v>1</v>
          </cell>
        </row>
        <row r="928">
          <cell r="A928" t="str">
            <v>CPU COT</v>
          </cell>
          <cell r="B928" t="str">
            <v>COT</v>
          </cell>
          <cell r="C928" t="str">
            <v>CUBA DE SEMI ENCAIXE DE LOUCA BRANCA QUADRADA, COM MESA PARA METAL, MOD. Q 2 DA CELITE OU SIMILAR</v>
          </cell>
          <cell r="D928" t="str">
            <v>UND</v>
          </cell>
          <cell r="E928">
            <v>1</v>
          </cell>
        </row>
        <row r="929">
          <cell r="A929" t="str">
            <v>CPU COT</v>
          </cell>
          <cell r="B929" t="str">
            <v>COT</v>
          </cell>
          <cell r="C929" t="str">
            <v>VALVULA EM METAL CROMADO 1.1/2ö X 1.1/2ö PARA TANQUE OU LAVATORIO, COM OU SEM LADRAO - FORNECIMENTO E INSTALACAO. AF_01/2020 - SINAPI - 86877</v>
          </cell>
          <cell r="D929" t="str">
            <v>UND</v>
          </cell>
          <cell r="E929">
            <v>1</v>
          </cell>
        </row>
        <row r="930">
          <cell r="A930" t="str">
            <v>CPU COT</v>
          </cell>
          <cell r="B930" t="str">
            <v>COT</v>
          </cell>
          <cell r="C930" t="str">
            <v>MASSA PLASTICA PARA MARMORE/GRANITO - SINAPI - 00004823</v>
          </cell>
          <cell r="D930" t="str">
            <v>KG</v>
          </cell>
          <cell r="E930">
            <v>2.9000000000000001E-2</v>
          </cell>
        </row>
        <row r="931">
          <cell r="A931" t="str">
            <v>CPU</v>
          </cell>
        </row>
        <row r="932">
          <cell r="A932" t="str">
            <v>CPU REFERÊNCIA:</v>
          </cell>
          <cell r="B932" t="str">
            <v>REFERÊNCIA:</v>
          </cell>
          <cell r="C932" t="str">
            <v>1301002021 - AGESUL</v>
          </cell>
        </row>
        <row r="933">
          <cell r="A933" t="str">
            <v>CPU 88</v>
          </cell>
          <cell r="B933">
            <v>88</v>
          </cell>
          <cell r="C933" t="str">
            <v>CURVA VERTICAL INTERNA 45° 150X50MM CHAPA 18</v>
          </cell>
          <cell r="F933" t="str">
            <v>OK</v>
          </cell>
        </row>
        <row r="934">
          <cell r="A934" t="str">
            <v>CPU MÃO DE OBRA</v>
          </cell>
          <cell r="B934" t="str">
            <v>MÃO DE OBRA</v>
          </cell>
        </row>
        <row r="935">
          <cell r="A935" t="str">
            <v>CPU 88316</v>
          </cell>
          <cell r="B935">
            <v>88316</v>
          </cell>
          <cell r="C935" t="str">
            <v>SERVENTE COM ENCARGOS COMPLEMENTARES</v>
          </cell>
          <cell r="D935" t="str">
            <v>H</v>
          </cell>
          <cell r="E935">
            <v>0.2</v>
          </cell>
        </row>
        <row r="936">
          <cell r="A936" t="str">
            <v>CPU 88264</v>
          </cell>
          <cell r="B936">
            <v>88264</v>
          </cell>
          <cell r="C936" t="str">
            <v>ELETRICISTA COM ENCARGOS COMPLEMENTARES</v>
          </cell>
          <cell r="D936" t="str">
            <v>H</v>
          </cell>
          <cell r="E936">
            <v>0.2</v>
          </cell>
        </row>
        <row r="937">
          <cell r="A937" t="str">
            <v>CPU</v>
          </cell>
        </row>
        <row r="938">
          <cell r="A938" t="str">
            <v>CPU INSUMOS</v>
          </cell>
          <cell r="B938" t="str">
            <v>INSUMOS</v>
          </cell>
        </row>
        <row r="939">
          <cell r="A939" t="str">
            <v>CPU COT</v>
          </cell>
          <cell r="B939" t="str">
            <v>COT</v>
          </cell>
          <cell r="C939" t="str">
            <v>CURVA VERTICAL INTERNA 45° 150X50MM CHAPA 18</v>
          </cell>
          <cell r="D939" t="str">
            <v>UND</v>
          </cell>
          <cell r="E939">
            <v>1</v>
          </cell>
        </row>
        <row r="940">
          <cell r="A940" t="str">
            <v>CPU</v>
          </cell>
        </row>
        <row r="941">
          <cell r="A941" t="str">
            <v>CPU</v>
          </cell>
        </row>
        <row r="942">
          <cell r="A942" t="str">
            <v>CPU REFERÊNCIA:</v>
          </cell>
          <cell r="B942" t="str">
            <v>REFERÊNCIA:</v>
          </cell>
          <cell r="C942" t="str">
            <v>11288 - ORSE</v>
          </cell>
        </row>
        <row r="943">
          <cell r="A943" t="str">
            <v>CPU 89</v>
          </cell>
          <cell r="B943">
            <v>89</v>
          </cell>
          <cell r="C943" t="str">
            <v>CURVA VERTICAL INTERNA 90° 150X50MM CHAPA 18</v>
          </cell>
          <cell r="F943" t="str">
            <v>OK</v>
          </cell>
        </row>
        <row r="944">
          <cell r="A944" t="str">
            <v>CPU MÃO DE OBRA</v>
          </cell>
          <cell r="B944" t="str">
            <v>MÃO DE OBRA</v>
          </cell>
        </row>
        <row r="945">
          <cell r="A945" t="str">
            <v>CPU 88316</v>
          </cell>
          <cell r="B945">
            <v>88316</v>
          </cell>
          <cell r="C945" t="str">
            <v>SERVENTE COM ENCARGOS COMPLEMENTARES</v>
          </cell>
          <cell r="D945" t="str">
            <v>H</v>
          </cell>
          <cell r="E945">
            <v>0.2</v>
          </cell>
        </row>
        <row r="946">
          <cell r="A946" t="str">
            <v>CPU 88264</v>
          </cell>
          <cell r="B946">
            <v>88264</v>
          </cell>
          <cell r="C946" t="str">
            <v>ELETRICISTA COM ENCARGOS COMPLEMENTARES</v>
          </cell>
          <cell r="D946" t="str">
            <v>H</v>
          </cell>
          <cell r="E946">
            <v>0.2</v>
          </cell>
        </row>
        <row r="947">
          <cell r="A947" t="str">
            <v>CPU</v>
          </cell>
        </row>
        <row r="948">
          <cell r="A948" t="str">
            <v>CPU INSUMOS</v>
          </cell>
          <cell r="B948" t="str">
            <v>INSUMOS</v>
          </cell>
        </row>
        <row r="949">
          <cell r="A949" t="str">
            <v>CPU COT</v>
          </cell>
          <cell r="B949" t="str">
            <v>COT</v>
          </cell>
          <cell r="C949" t="str">
            <v>CURVA VERTICAL INTERNA 90° 150X50MM CHAPA 18</v>
          </cell>
          <cell r="D949" t="str">
            <v>UND</v>
          </cell>
          <cell r="E949">
            <v>1</v>
          </cell>
        </row>
        <row r="950">
          <cell r="A950" t="str">
            <v>CPU</v>
          </cell>
        </row>
        <row r="951">
          <cell r="A951" t="str">
            <v>CPU</v>
          </cell>
        </row>
        <row r="952">
          <cell r="A952" t="str">
            <v>CPU REFERÊNCIA:</v>
          </cell>
          <cell r="B952" t="str">
            <v>REFERÊNCIA:</v>
          </cell>
          <cell r="C952" t="str">
            <v>11288 - ORSE</v>
          </cell>
        </row>
        <row r="953">
          <cell r="A953" t="str">
            <v>CPU 90</v>
          </cell>
          <cell r="B953">
            <v>90</v>
          </cell>
          <cell r="C953" t="str">
            <v>CURVA VERTICAL INTERNA 90° 50X25MM CHAPA 18</v>
          </cell>
          <cell r="F953" t="str">
            <v>OK</v>
          </cell>
        </row>
        <row r="954">
          <cell r="A954" t="str">
            <v>CPU MÃO DE OBRA</v>
          </cell>
          <cell r="B954" t="str">
            <v>MÃO DE OBRA</v>
          </cell>
        </row>
        <row r="955">
          <cell r="A955" t="str">
            <v>CPU 88316</v>
          </cell>
          <cell r="B955">
            <v>88316</v>
          </cell>
          <cell r="C955" t="str">
            <v>SERVENTE COM ENCARGOS COMPLEMENTARES</v>
          </cell>
          <cell r="D955" t="str">
            <v>H</v>
          </cell>
          <cell r="E955">
            <v>0.2</v>
          </cell>
        </row>
        <row r="956">
          <cell r="A956" t="str">
            <v>CPU 88264</v>
          </cell>
          <cell r="B956">
            <v>88264</v>
          </cell>
          <cell r="C956" t="str">
            <v>ELETRICISTA COM ENCARGOS COMPLEMENTARES</v>
          </cell>
          <cell r="D956" t="str">
            <v>H</v>
          </cell>
          <cell r="E956">
            <v>0.2</v>
          </cell>
        </row>
        <row r="957">
          <cell r="A957" t="str">
            <v>CPU</v>
          </cell>
        </row>
        <row r="958">
          <cell r="A958" t="str">
            <v>CPU INSUMOS</v>
          </cell>
          <cell r="B958" t="str">
            <v>INSUMOS</v>
          </cell>
        </row>
        <row r="959">
          <cell r="A959" t="str">
            <v>CPU COT</v>
          </cell>
          <cell r="B959" t="str">
            <v>COT</v>
          </cell>
          <cell r="C959" t="str">
            <v>CURVA VERTICAL INTERNA 90° 50X25MM CHAPA 18</v>
          </cell>
          <cell r="D959" t="str">
            <v>UND</v>
          </cell>
          <cell r="E959">
            <v>1</v>
          </cell>
        </row>
        <row r="960">
          <cell r="A960" t="str">
            <v>CPU</v>
          </cell>
        </row>
        <row r="961">
          <cell r="A961" t="str">
            <v>CPU</v>
          </cell>
        </row>
        <row r="962">
          <cell r="A962" t="str">
            <v>CPU REFERÊNCIA:</v>
          </cell>
          <cell r="B962" t="str">
            <v>REFERÊNCIA:</v>
          </cell>
          <cell r="C962" t="str">
            <v>11288 - ORSE</v>
          </cell>
        </row>
        <row r="963">
          <cell r="A963" t="str">
            <v>CPU 91</v>
          </cell>
          <cell r="B963">
            <v>91</v>
          </cell>
          <cell r="C963" t="str">
            <v>DETECTORES DE TEMPERATURA TERMOVELOCIMÉTRICO, ENDEREÇÁVEIS, INTELIGENTES, COM CERTIFICAÇÃO UL E FM;</v>
          </cell>
          <cell r="F963" t="str">
            <v>OK</v>
          </cell>
        </row>
        <row r="964">
          <cell r="A964" t="str">
            <v>CPU MÃO DE OBRA</v>
          </cell>
          <cell r="B964" t="str">
            <v>MÃO DE OBRA</v>
          </cell>
        </row>
        <row r="965">
          <cell r="A965" t="str">
            <v>CPU 88316</v>
          </cell>
          <cell r="B965">
            <v>88316</v>
          </cell>
          <cell r="C965" t="str">
            <v>SERVENTE COM ENCARGOS COMPLEMENTARES</v>
          </cell>
          <cell r="D965" t="str">
            <v>H</v>
          </cell>
          <cell r="E965">
            <v>0.5</v>
          </cell>
        </row>
        <row r="966">
          <cell r="A966" t="str">
            <v>CPU 88264</v>
          </cell>
          <cell r="B966">
            <v>88264</v>
          </cell>
          <cell r="C966" t="str">
            <v>ELETRICISTA COM ENCARGOS COMPLEMENTARES</v>
          </cell>
          <cell r="D966" t="str">
            <v>H</v>
          </cell>
          <cell r="E966">
            <v>0.5</v>
          </cell>
        </row>
        <row r="967">
          <cell r="A967" t="str">
            <v>CPU</v>
          </cell>
        </row>
        <row r="968">
          <cell r="A968" t="str">
            <v>CPU INSUMOS</v>
          </cell>
          <cell r="B968" t="str">
            <v>INSUMOS</v>
          </cell>
        </row>
        <row r="969">
          <cell r="A969" t="str">
            <v>CPU COT</v>
          </cell>
          <cell r="B969" t="str">
            <v>COT</v>
          </cell>
          <cell r="C969" t="str">
            <v>DETECTORES DE TEMPERATURA TERMOVELOCIMÉTRICO, ENDEREÇÁVEIS, INTELIGENTES, COM CERTIFICAÇÃO UL E FM;</v>
          </cell>
          <cell r="D969" t="str">
            <v>UND</v>
          </cell>
          <cell r="E969">
            <v>1</v>
          </cell>
        </row>
        <row r="970">
          <cell r="A970" t="str">
            <v>CPU</v>
          </cell>
        </row>
        <row r="971">
          <cell r="A971" t="str">
            <v>CPU</v>
          </cell>
        </row>
        <row r="972">
          <cell r="A972" t="str">
            <v>CPU REFERÊNCIA:</v>
          </cell>
          <cell r="B972" t="str">
            <v>REFERÊNCIA:</v>
          </cell>
          <cell r="C972" t="str">
            <v>12017 - ORSE</v>
          </cell>
        </row>
        <row r="973">
          <cell r="A973" t="str">
            <v>CPU 92</v>
          </cell>
          <cell r="B973">
            <v>92</v>
          </cell>
          <cell r="C973" t="str">
            <v>DIO - 2 FIBRAS</v>
          </cell>
          <cell r="F973" t="str">
            <v>NÃO</v>
          </cell>
        </row>
        <row r="974">
          <cell r="A974" t="str">
            <v>CPU MÃO DE OBRA</v>
          </cell>
          <cell r="B974" t="str">
            <v>MÃO DE OBRA</v>
          </cell>
        </row>
        <row r="975">
          <cell r="A975" t="str">
            <v>CPU 242</v>
          </cell>
          <cell r="B975">
            <v>242</v>
          </cell>
          <cell r="C975" t="str">
            <v>AJUDANTE ESPECIALIZADO</v>
          </cell>
          <cell r="D975" t="str">
            <v>H</v>
          </cell>
          <cell r="E975">
            <v>2.0390000000000001</v>
          </cell>
        </row>
        <row r="976">
          <cell r="A976" t="str">
            <v>CPU 2438</v>
          </cell>
          <cell r="B976">
            <v>2438</v>
          </cell>
          <cell r="C976" t="str">
            <v>ELETROTECNICO (HORISTA)</v>
          </cell>
          <cell r="D976" t="str">
            <v>H</v>
          </cell>
          <cell r="E976">
            <v>2.0390000000000001</v>
          </cell>
        </row>
        <row r="977">
          <cell r="A977" t="str">
            <v>CPU</v>
          </cell>
        </row>
        <row r="978">
          <cell r="A978" t="str">
            <v>CPU INSUMOS</v>
          </cell>
          <cell r="B978" t="str">
            <v>INSUMOS</v>
          </cell>
        </row>
        <row r="979">
          <cell r="A979" t="str">
            <v>CPU COT</v>
          </cell>
          <cell r="B979" t="str">
            <v>COT</v>
          </cell>
          <cell r="C979" t="str">
            <v>DIO - 2 FIBRAS</v>
          </cell>
          <cell r="D979" t="str">
            <v>UND</v>
          </cell>
          <cell r="E979">
            <v>1</v>
          </cell>
        </row>
        <row r="980">
          <cell r="A980" t="str">
            <v>CPU</v>
          </cell>
        </row>
        <row r="981">
          <cell r="A981" t="str">
            <v>CPU</v>
          </cell>
        </row>
        <row r="982">
          <cell r="A982" t="str">
            <v>CPU REFERÊNCIA:</v>
          </cell>
          <cell r="B982" t="str">
            <v>REFERÊNCIA:</v>
          </cell>
          <cell r="C982" t="str">
            <v>059251 - SBC</v>
          </cell>
        </row>
        <row r="983">
          <cell r="A983" t="str">
            <v>CPU 93</v>
          </cell>
          <cell r="B983">
            <v>93</v>
          </cell>
          <cell r="C983" t="str">
            <v>DIO - 24 FIBRAS</v>
          </cell>
          <cell r="F983" t="str">
            <v>OK</v>
          </cell>
        </row>
        <row r="984">
          <cell r="A984" t="str">
            <v>CPU MÃO DE OBRA</v>
          </cell>
          <cell r="B984" t="str">
            <v>MÃO DE OBRA</v>
          </cell>
        </row>
        <row r="985">
          <cell r="A985" t="str">
            <v>CPU 242</v>
          </cell>
          <cell r="B985">
            <v>242</v>
          </cell>
          <cell r="C985" t="str">
            <v>AJUDANTE ESPECIALIZADO</v>
          </cell>
          <cell r="D985" t="str">
            <v>H</v>
          </cell>
          <cell r="E985">
            <v>2.0390000000000001</v>
          </cell>
        </row>
        <row r="986">
          <cell r="A986" t="str">
            <v>CPU 2438</v>
          </cell>
          <cell r="B986">
            <v>2438</v>
          </cell>
          <cell r="C986" t="str">
            <v>ELETROTECNICO (HORISTA)</v>
          </cell>
          <cell r="D986" t="str">
            <v>H</v>
          </cell>
          <cell r="E986">
            <v>2.0390000000000001</v>
          </cell>
        </row>
        <row r="987">
          <cell r="A987" t="str">
            <v>CPU</v>
          </cell>
        </row>
        <row r="988">
          <cell r="A988" t="str">
            <v>CPU INSUMOS</v>
          </cell>
          <cell r="B988" t="str">
            <v>INSUMOS</v>
          </cell>
        </row>
        <row r="989">
          <cell r="A989" t="str">
            <v>CPU COT</v>
          </cell>
          <cell r="B989" t="str">
            <v>COT</v>
          </cell>
          <cell r="C989" t="str">
            <v>DIO - 24 FIBRAS</v>
          </cell>
          <cell r="D989" t="str">
            <v>UND</v>
          </cell>
          <cell r="E989">
            <v>1</v>
          </cell>
        </row>
        <row r="990">
          <cell r="A990" t="str">
            <v>CPU</v>
          </cell>
        </row>
        <row r="991">
          <cell r="A991" t="str">
            <v>CPU</v>
          </cell>
        </row>
        <row r="992">
          <cell r="A992" t="str">
            <v>CPU REFERÊNCIA:</v>
          </cell>
          <cell r="B992" t="str">
            <v>REFERÊNCIA:</v>
          </cell>
          <cell r="C992" t="str">
            <v>059251 - SBC</v>
          </cell>
        </row>
        <row r="993">
          <cell r="A993" t="str">
            <v>CPU 94</v>
          </cell>
          <cell r="B993">
            <v>94</v>
          </cell>
          <cell r="C993" t="str">
            <v>DIO - 6 FIBRAS</v>
          </cell>
          <cell r="F993" t="str">
            <v>NÃO</v>
          </cell>
        </row>
        <row r="994">
          <cell r="A994" t="str">
            <v>CPU MÃO DE OBRA</v>
          </cell>
          <cell r="B994" t="str">
            <v>MÃO DE OBRA</v>
          </cell>
        </row>
        <row r="995">
          <cell r="A995" t="str">
            <v>CPU 242</v>
          </cell>
          <cell r="B995">
            <v>242</v>
          </cell>
          <cell r="C995" t="str">
            <v>AJUDANTE ESPECIALIZADO</v>
          </cell>
          <cell r="D995" t="str">
            <v>H</v>
          </cell>
          <cell r="E995">
            <v>2.0390000000000001</v>
          </cell>
        </row>
        <row r="996">
          <cell r="A996" t="str">
            <v>CPU 2438</v>
          </cell>
          <cell r="B996">
            <v>2438</v>
          </cell>
          <cell r="C996" t="str">
            <v>ELETROTECNICO (HORISTA)</v>
          </cell>
          <cell r="D996" t="str">
            <v>H</v>
          </cell>
          <cell r="E996">
            <v>2.0390000000000001</v>
          </cell>
        </row>
        <row r="997">
          <cell r="A997" t="str">
            <v>CPU</v>
          </cell>
        </row>
        <row r="998">
          <cell r="A998" t="str">
            <v>CPU INSUMOS</v>
          </cell>
          <cell r="B998" t="str">
            <v>INSUMOS</v>
          </cell>
        </row>
        <row r="999">
          <cell r="A999" t="str">
            <v>CPU COT</v>
          </cell>
          <cell r="B999" t="str">
            <v>COT</v>
          </cell>
          <cell r="C999" t="str">
            <v>DIO - 6 FIBRAS</v>
          </cell>
          <cell r="D999" t="str">
            <v>UND</v>
          </cell>
          <cell r="E999">
            <v>1</v>
          </cell>
        </row>
        <row r="1000">
          <cell r="A1000" t="str">
            <v>CPU</v>
          </cell>
        </row>
        <row r="1001">
          <cell r="A1001" t="str">
            <v>CPU</v>
          </cell>
        </row>
        <row r="1002">
          <cell r="A1002" t="str">
            <v>CPU REFERÊNCIA:</v>
          </cell>
          <cell r="B1002" t="str">
            <v>REFERÊNCIA:</v>
          </cell>
          <cell r="C1002" t="str">
            <v>059251 - SBC</v>
          </cell>
        </row>
        <row r="1003">
          <cell r="A1003" t="str">
            <v>CPU 95</v>
          </cell>
          <cell r="B1003">
            <v>95</v>
          </cell>
          <cell r="C1003" t="str">
            <v>DISJUNTOR AUTOMÁTICO TRIFÁSICO 15 KV, 250 MVA (MÍNIMO)</v>
          </cell>
          <cell r="F1003" t="str">
            <v>NÃO</v>
          </cell>
        </row>
        <row r="1004">
          <cell r="A1004" t="str">
            <v>CPU MÃO DE OBRA</v>
          </cell>
          <cell r="B1004" t="str">
            <v>MÃO DE OBRA</v>
          </cell>
        </row>
        <row r="1005">
          <cell r="A1005" t="str">
            <v>CPU 88264</v>
          </cell>
          <cell r="B1005">
            <v>88264</v>
          </cell>
          <cell r="C1005" t="str">
            <v>ELETRICISTA COM ENCARGOS COMPLEMENTARES</v>
          </cell>
          <cell r="D1005" t="str">
            <v>H</v>
          </cell>
          <cell r="E1005">
            <v>5.3</v>
          </cell>
        </row>
        <row r="1006">
          <cell r="A1006" t="str">
            <v>CPU 88247</v>
          </cell>
          <cell r="B1006">
            <v>88247</v>
          </cell>
          <cell r="C1006" t="str">
            <v>AUXILIAR DE ELETRICISTA COM ENCARGOS COMPLEMENTARES</v>
          </cell>
          <cell r="D1006" t="str">
            <v>H</v>
          </cell>
          <cell r="E1006">
            <v>10</v>
          </cell>
        </row>
        <row r="1007">
          <cell r="A1007" t="str">
            <v>CPU 2438</v>
          </cell>
          <cell r="B1007">
            <v>2438</v>
          </cell>
          <cell r="C1007" t="str">
            <v>ELETROTECNICO (HORISTA)</v>
          </cell>
          <cell r="D1007" t="str">
            <v>H</v>
          </cell>
          <cell r="E1007">
            <v>0.8</v>
          </cell>
        </row>
        <row r="1008">
          <cell r="A1008" t="str">
            <v>CPU INSUMOS</v>
          </cell>
          <cell r="B1008" t="str">
            <v>INSUMOS</v>
          </cell>
        </row>
        <row r="1009">
          <cell r="A1009" t="str">
            <v>CPU COT</v>
          </cell>
          <cell r="B1009" t="str">
            <v>COT</v>
          </cell>
          <cell r="C1009" t="str">
            <v>DISJUNTOR AUTOMÁTICO TRIFÁSICO 15 KV, 250 MVA (MÍNIMO)</v>
          </cell>
          <cell r="D1009" t="str">
            <v>UND</v>
          </cell>
          <cell r="E1009">
            <v>1</v>
          </cell>
        </row>
        <row r="1010">
          <cell r="A1010" t="str">
            <v>CPU</v>
          </cell>
        </row>
        <row r="1011">
          <cell r="A1011" t="str">
            <v>CPU</v>
          </cell>
        </row>
        <row r="1012">
          <cell r="A1012" t="str">
            <v>CPU REFERÊNCIA:</v>
          </cell>
          <cell r="B1012" t="str">
            <v>REFERÊNCIA:</v>
          </cell>
          <cell r="C1012" t="str">
            <v>37.13.530 - CPOS</v>
          </cell>
        </row>
        <row r="1013">
          <cell r="A1013" t="str">
            <v>CPU 96</v>
          </cell>
          <cell r="B1013">
            <v>96</v>
          </cell>
          <cell r="C1013" t="str">
            <v>DISJUNTOR CAIXA MOLDADA TRIPOLAR 150A</v>
          </cell>
          <cell r="F1013" t="str">
            <v>OK</v>
          </cell>
        </row>
        <row r="1014">
          <cell r="A1014" t="str">
            <v>CPU MÃO DE OBRA</v>
          </cell>
          <cell r="B1014" t="str">
            <v>MÃO DE OBRA</v>
          </cell>
        </row>
        <row r="1015">
          <cell r="A1015" t="str">
            <v>CPU 88264</v>
          </cell>
          <cell r="B1015">
            <v>88264</v>
          </cell>
          <cell r="C1015" t="str">
            <v>ELETRICISTA COM ENCARGOS COMPLEMENTARES</v>
          </cell>
          <cell r="D1015" t="str">
            <v>H</v>
          </cell>
          <cell r="E1015">
            <v>1.32</v>
          </cell>
        </row>
        <row r="1016">
          <cell r="A1016" t="str">
            <v>CPU 88247</v>
          </cell>
          <cell r="B1016">
            <v>88247</v>
          </cell>
          <cell r="C1016" t="str">
            <v>AUXILIAR DE ELETRICISTA COM ENCARGOS COMPLEMENTARES</v>
          </cell>
          <cell r="D1016" t="str">
            <v>H</v>
          </cell>
          <cell r="E1016">
            <v>1.32</v>
          </cell>
        </row>
        <row r="1017">
          <cell r="A1017" t="str">
            <v>CPU</v>
          </cell>
        </row>
        <row r="1018">
          <cell r="A1018" t="str">
            <v>CPU INSUMOS</v>
          </cell>
          <cell r="B1018" t="str">
            <v>INSUMOS</v>
          </cell>
        </row>
        <row r="1019">
          <cell r="A1019" t="str">
            <v>CPU COT</v>
          </cell>
          <cell r="B1019" t="str">
            <v>COT</v>
          </cell>
          <cell r="C1019" t="str">
            <v>TERMINAL A COMPRESSAO EM COBRE ESTANHADO PARA CABO 50 MM2, 1 FURO E 1 COMPRESSAO, PARA PARAFUSO DE FIXACAO M8</v>
          </cell>
          <cell r="D1019" t="str">
            <v>UND</v>
          </cell>
          <cell r="E1019">
            <v>3</v>
          </cell>
        </row>
        <row r="1020">
          <cell r="A1020" t="str">
            <v>CPU COT</v>
          </cell>
          <cell r="B1020" t="str">
            <v>COT</v>
          </cell>
          <cell r="C1020" t="str">
            <v>DISJUNTOR CAIXA MOLDADA TRIPOLAR 150A</v>
          </cell>
          <cell r="D1020" t="str">
            <v>UND</v>
          </cell>
          <cell r="E1020">
            <v>1</v>
          </cell>
        </row>
        <row r="1021">
          <cell r="A1021" t="str">
            <v>CPU</v>
          </cell>
        </row>
        <row r="1022">
          <cell r="A1022" t="str">
            <v>CPU REFERÊNCIA:</v>
          </cell>
          <cell r="B1022" t="str">
            <v>REFERÊNCIA:</v>
          </cell>
          <cell r="C1022" t="str">
            <v>101895 - SINAPI</v>
          </cell>
        </row>
        <row r="1023">
          <cell r="A1023" t="str">
            <v>CPU 97</v>
          </cell>
          <cell r="B1023">
            <v>97</v>
          </cell>
          <cell r="C1023" t="str">
            <v>DISJUNTOR CAIXA MOLDADA TRIPOLAR 160A</v>
          </cell>
          <cell r="F1023" t="str">
            <v>OK</v>
          </cell>
        </row>
        <row r="1024">
          <cell r="A1024" t="str">
            <v>CPU MÃO DE OBRA</v>
          </cell>
          <cell r="B1024" t="str">
            <v>MÃO DE OBRA</v>
          </cell>
        </row>
        <row r="1025">
          <cell r="A1025" t="str">
            <v>CPU 88264</v>
          </cell>
          <cell r="B1025">
            <v>88264</v>
          </cell>
          <cell r="C1025" t="str">
            <v>ELETRICISTA COM ENCARGOS COMPLEMENTARES</v>
          </cell>
          <cell r="D1025" t="str">
            <v>H</v>
          </cell>
          <cell r="E1025">
            <v>1.32</v>
          </cell>
        </row>
        <row r="1026">
          <cell r="A1026" t="str">
            <v>CPU 88247</v>
          </cell>
          <cell r="B1026">
            <v>88247</v>
          </cell>
          <cell r="C1026" t="str">
            <v>AUXILIAR DE ELETRICISTA COM ENCARGOS COMPLEMENTARES</v>
          </cell>
          <cell r="D1026" t="str">
            <v>H</v>
          </cell>
          <cell r="E1026">
            <v>1.32</v>
          </cell>
        </row>
        <row r="1027">
          <cell r="A1027" t="str">
            <v>CPU</v>
          </cell>
        </row>
        <row r="1028">
          <cell r="A1028" t="str">
            <v>CPU INSUMOS</v>
          </cell>
          <cell r="B1028" t="str">
            <v>INSUMOS</v>
          </cell>
        </row>
        <row r="1029">
          <cell r="A1029" t="str">
            <v>CPU COT</v>
          </cell>
          <cell r="B1029" t="str">
            <v>COT</v>
          </cell>
          <cell r="C1029" t="str">
            <v>TERMINAL A COMPRESSAO EM COBRE ESTANHADO PARA CABO 50 MM2, 1 FURO E 1 COMPRESSAO, PARA PARAFUSO DE FIXACAO M8</v>
          </cell>
          <cell r="D1029" t="str">
            <v>UND</v>
          </cell>
          <cell r="E1029">
            <v>3</v>
          </cell>
        </row>
        <row r="1030">
          <cell r="A1030" t="str">
            <v>CPU COT</v>
          </cell>
          <cell r="B1030" t="str">
            <v>COT</v>
          </cell>
          <cell r="C1030" t="str">
            <v>DISJUNTOR CAIXA MOLDADA TRIPOLAR 160A</v>
          </cell>
          <cell r="D1030" t="str">
            <v>UND</v>
          </cell>
          <cell r="E1030">
            <v>1</v>
          </cell>
        </row>
        <row r="1031">
          <cell r="A1031" t="str">
            <v>CPU</v>
          </cell>
        </row>
        <row r="1032">
          <cell r="A1032" t="str">
            <v>CPU REFERÊNCIA:</v>
          </cell>
          <cell r="B1032" t="str">
            <v>REFERÊNCIA:</v>
          </cell>
          <cell r="C1032" t="str">
            <v>101895 - SINAPI</v>
          </cell>
        </row>
        <row r="1033">
          <cell r="A1033" t="str">
            <v>CPU 98</v>
          </cell>
          <cell r="B1033">
            <v>98</v>
          </cell>
          <cell r="C1033" t="str">
            <v>DISJUNTOR CAIXA MOLDADA TRIPOLAR 320A</v>
          </cell>
          <cell r="F1033" t="str">
            <v>OK</v>
          </cell>
        </row>
        <row r="1034">
          <cell r="A1034" t="str">
            <v>CPU MÃO DE OBRA</v>
          </cell>
          <cell r="B1034" t="str">
            <v>MÃO DE OBRA</v>
          </cell>
        </row>
        <row r="1035">
          <cell r="A1035" t="str">
            <v>CPU 88264</v>
          </cell>
          <cell r="B1035">
            <v>88264</v>
          </cell>
          <cell r="C1035" t="str">
            <v>ELETRICISTA COM ENCARGOS COMPLEMENTARES</v>
          </cell>
          <cell r="D1035" t="str">
            <v>H</v>
          </cell>
          <cell r="E1035">
            <v>1.32</v>
          </cell>
        </row>
        <row r="1036">
          <cell r="A1036" t="str">
            <v>CPU 88247</v>
          </cell>
          <cell r="B1036">
            <v>88247</v>
          </cell>
          <cell r="C1036" t="str">
            <v>AUXILIAR DE ELETRICISTA COM ENCARGOS COMPLEMENTARES</v>
          </cell>
          <cell r="D1036" t="str">
            <v>H</v>
          </cell>
          <cell r="E1036">
            <v>1.32</v>
          </cell>
        </row>
        <row r="1037">
          <cell r="A1037" t="str">
            <v>CPU</v>
          </cell>
        </row>
        <row r="1038">
          <cell r="A1038" t="str">
            <v>CPU INSUMOS</v>
          </cell>
          <cell r="B1038" t="str">
            <v>INSUMOS</v>
          </cell>
        </row>
        <row r="1039">
          <cell r="A1039" t="str">
            <v>CPU COT</v>
          </cell>
          <cell r="B1039" t="str">
            <v>COT</v>
          </cell>
          <cell r="C1039" t="str">
            <v>TERMINAL A COMPRESSAO EM COBRE ESTANHADO PARA CABO 50 MM2, 1 FURO E 1 COMPRESSAO, PARA PARAFUSO DE FIXACAO M8</v>
          </cell>
          <cell r="D1039" t="str">
            <v>UND</v>
          </cell>
          <cell r="E1039">
            <v>3</v>
          </cell>
        </row>
        <row r="1040">
          <cell r="A1040" t="str">
            <v>CPU COT</v>
          </cell>
          <cell r="B1040" t="str">
            <v>COT</v>
          </cell>
          <cell r="C1040" t="str">
            <v>DISJUNTOR CAIXA MOLDADA TRIPOLAR 320A</v>
          </cell>
          <cell r="D1040" t="str">
            <v>UND</v>
          </cell>
          <cell r="E1040">
            <v>1</v>
          </cell>
        </row>
        <row r="1041">
          <cell r="A1041" t="str">
            <v>CPU</v>
          </cell>
        </row>
        <row r="1042">
          <cell r="A1042" t="str">
            <v>CPU REFERÊNCIA:</v>
          </cell>
          <cell r="B1042" t="str">
            <v>REFERÊNCIA:</v>
          </cell>
          <cell r="C1042" t="str">
            <v>101898 - SINAPI</v>
          </cell>
        </row>
        <row r="1043">
          <cell r="A1043" t="str">
            <v>CPU 99</v>
          </cell>
          <cell r="B1043">
            <v>99</v>
          </cell>
          <cell r="C1043" t="str">
            <v>DISJUNTOR TRIPOLAR TERMOMAGNÉTICO (380 V/220 V) - DIN (CURVA C) - 500 A - 18 KA</v>
          </cell>
          <cell r="F1043" t="str">
            <v>OK</v>
          </cell>
        </row>
        <row r="1044">
          <cell r="A1044" t="str">
            <v>CPU MÃO DE OBRA</v>
          </cell>
          <cell r="B1044" t="str">
            <v>MÃO DE OBRA</v>
          </cell>
        </row>
        <row r="1045">
          <cell r="A1045" t="str">
            <v>CPU 88264</v>
          </cell>
          <cell r="B1045">
            <v>88264</v>
          </cell>
          <cell r="C1045" t="str">
            <v>ELETRICISTA COM ENCARGOS COMPLEMENTARES</v>
          </cell>
          <cell r="D1045" t="str">
            <v>H</v>
          </cell>
          <cell r="E1045">
            <v>1.32</v>
          </cell>
        </row>
        <row r="1046">
          <cell r="A1046" t="str">
            <v>CPU 88247</v>
          </cell>
          <cell r="B1046">
            <v>88247</v>
          </cell>
          <cell r="C1046" t="str">
            <v>AUXILIAR DE ELETRICISTA COM ENCARGOS COMPLEMENTARES</v>
          </cell>
          <cell r="D1046" t="str">
            <v>H</v>
          </cell>
          <cell r="E1046">
            <v>1.32</v>
          </cell>
        </row>
        <row r="1047">
          <cell r="A1047" t="str">
            <v>CPU</v>
          </cell>
        </row>
        <row r="1048">
          <cell r="A1048" t="str">
            <v>CPU INSUMOS</v>
          </cell>
          <cell r="B1048" t="str">
            <v>INSUMOS</v>
          </cell>
        </row>
        <row r="1049">
          <cell r="A1049" t="str">
            <v>CPU COT</v>
          </cell>
          <cell r="B1049" t="str">
            <v>COT</v>
          </cell>
          <cell r="C1049" t="str">
            <v>TERMINAL A COMPRESSAO EM COBRE ESTANHADO PARA CABO 50 MM2, 1 FURO E 1 COMPRESSAO, PARA PARAFUSO DE FIXACAO M8</v>
          </cell>
          <cell r="D1049" t="str">
            <v>UND</v>
          </cell>
          <cell r="E1049">
            <v>3</v>
          </cell>
        </row>
        <row r="1050">
          <cell r="A1050" t="str">
            <v>CPU COT</v>
          </cell>
          <cell r="B1050" t="str">
            <v>COT</v>
          </cell>
          <cell r="C1050" t="str">
            <v>DISJUNTOR TRIPOLAR TERMOMAGNÉTICO (380 V/220 V) - DIN (CURVA C) - 500 A - 18 KA</v>
          </cell>
          <cell r="D1050" t="str">
            <v>UND</v>
          </cell>
          <cell r="E1050">
            <v>1</v>
          </cell>
        </row>
        <row r="1051">
          <cell r="A1051" t="str">
            <v>CPU</v>
          </cell>
        </row>
        <row r="1052">
          <cell r="A1052" t="str">
            <v>CPU REFERÊNCIA:</v>
          </cell>
          <cell r="B1052" t="str">
            <v>REFERÊNCIA:</v>
          </cell>
          <cell r="C1052" t="str">
            <v>101898 - SINAPI</v>
          </cell>
        </row>
        <row r="1053">
          <cell r="A1053" t="str">
            <v>CPU 100</v>
          </cell>
          <cell r="B1053">
            <v>100</v>
          </cell>
          <cell r="C1053" t="str">
            <v>DISJUNTOR DR 40A, 30MA</v>
          </cell>
          <cell r="F1053" t="str">
            <v>OK</v>
          </cell>
        </row>
        <row r="1054">
          <cell r="A1054" t="str">
            <v>CPU MÃO DE OBRA</v>
          </cell>
          <cell r="B1054" t="str">
            <v>MÃO DE OBRA</v>
          </cell>
        </row>
        <row r="1055">
          <cell r="A1055" t="str">
            <v>CPU 88264</v>
          </cell>
          <cell r="B1055">
            <v>88264</v>
          </cell>
          <cell r="C1055" t="str">
            <v>ELETRICISTA COM ENCARGOS COMPLEMENTARES</v>
          </cell>
          <cell r="D1055" t="str">
            <v>H</v>
          </cell>
          <cell r="E1055">
            <v>2</v>
          </cell>
        </row>
        <row r="1056">
          <cell r="A1056" t="str">
            <v>CPU 88316</v>
          </cell>
          <cell r="B1056">
            <v>88316</v>
          </cell>
          <cell r="C1056" t="str">
            <v>SERVENTE COM ENCARGOS COMPLEMENTARES</v>
          </cell>
          <cell r="D1056" t="str">
            <v>H</v>
          </cell>
          <cell r="E1056">
            <v>2</v>
          </cell>
        </row>
        <row r="1057">
          <cell r="A1057" t="str">
            <v>CPU</v>
          </cell>
        </row>
        <row r="1058">
          <cell r="A1058" t="str">
            <v>CPU INSUMOS</v>
          </cell>
          <cell r="B1058" t="str">
            <v>INSUMOS</v>
          </cell>
        </row>
        <row r="1059">
          <cell r="A1059" t="str">
            <v>CPU COT</v>
          </cell>
          <cell r="B1059" t="str">
            <v>COT</v>
          </cell>
          <cell r="C1059" t="str">
            <v>DISJUNTOR DR 40A, 30MA</v>
          </cell>
          <cell r="D1059" t="str">
            <v>UND</v>
          </cell>
          <cell r="E1059">
            <v>1</v>
          </cell>
        </row>
        <row r="1060">
          <cell r="A1060" t="str">
            <v>CPU</v>
          </cell>
        </row>
        <row r="1061">
          <cell r="A1061" t="str">
            <v>CPU</v>
          </cell>
        </row>
        <row r="1062">
          <cell r="A1062" t="str">
            <v>CPU REFERÊNCIA:</v>
          </cell>
          <cell r="B1062" t="str">
            <v>REFERÊNCIA:</v>
          </cell>
          <cell r="C1062" t="str">
            <v>13601 - ORSE</v>
          </cell>
        </row>
        <row r="1063">
          <cell r="A1063" t="str">
            <v>CPU 101</v>
          </cell>
          <cell r="B1063">
            <v>101</v>
          </cell>
          <cell r="C1063" t="str">
            <v>DISJUNTOR DR 50A, 30MA</v>
          </cell>
          <cell r="F1063" t="str">
            <v>TROCAR PELO 63A</v>
          </cell>
        </row>
        <row r="1064">
          <cell r="A1064" t="str">
            <v>CPU MÃO DE OBRA</v>
          </cell>
          <cell r="B1064" t="str">
            <v>MÃO DE OBRA</v>
          </cell>
        </row>
        <row r="1065">
          <cell r="A1065" t="str">
            <v>CPU 88264</v>
          </cell>
          <cell r="B1065">
            <v>88264</v>
          </cell>
          <cell r="C1065" t="str">
            <v>ELETRICISTA COM ENCARGOS COMPLEMENTARES</v>
          </cell>
          <cell r="D1065" t="str">
            <v>H</v>
          </cell>
          <cell r="E1065">
            <v>2</v>
          </cell>
        </row>
        <row r="1066">
          <cell r="A1066" t="str">
            <v>CPU 88316</v>
          </cell>
          <cell r="B1066">
            <v>88316</v>
          </cell>
          <cell r="C1066" t="str">
            <v>SERVENTE COM ENCARGOS COMPLEMENTARES</v>
          </cell>
          <cell r="D1066" t="str">
            <v>H</v>
          </cell>
          <cell r="E1066">
            <v>2</v>
          </cell>
        </row>
        <row r="1067">
          <cell r="A1067" t="str">
            <v>CPU</v>
          </cell>
        </row>
        <row r="1068">
          <cell r="A1068" t="str">
            <v>CPU INSUMOS</v>
          </cell>
          <cell r="B1068" t="str">
            <v>INSUMOS</v>
          </cell>
        </row>
        <row r="1069">
          <cell r="A1069" t="str">
            <v>CPU COT</v>
          </cell>
          <cell r="B1069" t="str">
            <v>COT</v>
          </cell>
          <cell r="C1069" t="str">
            <v>DISJUNTOR DR 50A, 30MA</v>
          </cell>
          <cell r="D1069" t="str">
            <v>UND</v>
          </cell>
          <cell r="E1069">
            <v>1</v>
          </cell>
        </row>
        <row r="1070">
          <cell r="A1070" t="str">
            <v>CPU</v>
          </cell>
        </row>
        <row r="1071">
          <cell r="A1071" t="str">
            <v>CPU</v>
          </cell>
        </row>
        <row r="1072">
          <cell r="A1072" t="str">
            <v>CPU REFERÊNCIA:</v>
          </cell>
          <cell r="B1072" t="str">
            <v>REFERÊNCIA:</v>
          </cell>
          <cell r="C1072" t="str">
            <v>13601 - ORSE</v>
          </cell>
        </row>
        <row r="1073">
          <cell r="A1073" t="str">
            <v>CPU 102</v>
          </cell>
          <cell r="B1073">
            <v>102</v>
          </cell>
          <cell r="C1073" t="str">
            <v>DISPENSER PARA PAPEL HIGIÊNICO ROLÃO - LALEKLA - LINHA SMART (CÓD. 30180242) OU EQUIVALENTE TÉCNICO</v>
          </cell>
          <cell r="F1073" t="str">
            <v>OK</v>
          </cell>
        </row>
        <row r="1074">
          <cell r="A1074" t="str">
            <v>CPU MÃO DE OBRA</v>
          </cell>
          <cell r="B1074" t="str">
            <v>MÃO DE OBRA</v>
          </cell>
        </row>
        <row r="1075">
          <cell r="A1075" t="str">
            <v>CPU 88267</v>
          </cell>
          <cell r="B1075">
            <v>88267</v>
          </cell>
          <cell r="C1075" t="str">
            <v>ENCANADOR OU BOMBEIRO HIDRÁULICO COM ENCARGOS COMPLEMENTARES</v>
          </cell>
          <cell r="D1075" t="str">
            <v>H</v>
          </cell>
          <cell r="E1075">
            <v>0.15</v>
          </cell>
        </row>
        <row r="1076">
          <cell r="A1076" t="str">
            <v>CPU</v>
          </cell>
        </row>
        <row r="1077">
          <cell r="A1077" t="str">
            <v>CPU</v>
          </cell>
        </row>
        <row r="1078">
          <cell r="A1078" t="str">
            <v>CPU INSUMOS</v>
          </cell>
          <cell r="B1078" t="str">
            <v>INSUMOS</v>
          </cell>
        </row>
        <row r="1079">
          <cell r="A1079" t="str">
            <v>CPU COT</v>
          </cell>
          <cell r="B1079" t="str">
            <v>COT</v>
          </cell>
          <cell r="C1079" t="str">
            <v>DISPENSER PARA PAPEL HIGIÊNICO ROLÃO - LALEKLA - LINHA SMART (CÓD. 30180242) OU EQUIVALENTE TÉCNICO</v>
          </cell>
          <cell r="D1079" t="str">
            <v>UND</v>
          </cell>
          <cell r="E1079">
            <v>1</v>
          </cell>
          <cell r="F1079">
            <v>37400</v>
          </cell>
        </row>
        <row r="1080">
          <cell r="A1080" t="str">
            <v>CPU</v>
          </cell>
        </row>
        <row r="1081">
          <cell r="A1081" t="str">
            <v>CPU</v>
          </cell>
        </row>
        <row r="1082">
          <cell r="A1082" t="str">
            <v>CPU REFERÊNCIA:</v>
          </cell>
          <cell r="B1082" t="str">
            <v>REFERÊNCIA:</v>
          </cell>
          <cell r="C1082" t="str">
            <v>12511 - ORSE</v>
          </cell>
        </row>
        <row r="1083">
          <cell r="A1083" t="str">
            <v>CPU 103</v>
          </cell>
          <cell r="B1083">
            <v>103</v>
          </cell>
          <cell r="C1083" t="str">
            <v>DISPENSER PARA TOALHA INTERFOLHADA LALEKLA - LINHA EVOLUTION CÓD.30180225. OU EQUIVALENTE TÉCNICO</v>
          </cell>
          <cell r="F1083" t="str">
            <v>OK</v>
          </cell>
        </row>
        <row r="1084">
          <cell r="A1084" t="str">
            <v>CPU MÃO DE OBRA</v>
          </cell>
          <cell r="B1084" t="str">
            <v>MÃO DE OBRA</v>
          </cell>
        </row>
        <row r="1085">
          <cell r="A1085" t="str">
            <v>CPU 88267</v>
          </cell>
          <cell r="B1085">
            <v>88267</v>
          </cell>
          <cell r="C1085" t="str">
            <v>ENCANADOR OU BOMBEIRO HIDRÁULICO COM ENCARGOS COMPLEMENTARES</v>
          </cell>
          <cell r="D1085" t="str">
            <v>H</v>
          </cell>
          <cell r="E1085">
            <v>0.15</v>
          </cell>
        </row>
        <row r="1086">
          <cell r="A1086" t="str">
            <v>CPU</v>
          </cell>
        </row>
        <row r="1087">
          <cell r="A1087" t="str">
            <v>CPU</v>
          </cell>
        </row>
        <row r="1088">
          <cell r="A1088" t="str">
            <v>CPU INSUMOS</v>
          </cell>
          <cell r="B1088" t="str">
            <v>INSUMOS</v>
          </cell>
        </row>
        <row r="1089">
          <cell r="A1089" t="str">
            <v>CPU COT</v>
          </cell>
          <cell r="B1089" t="str">
            <v>COT</v>
          </cell>
          <cell r="C1089" t="str">
            <v>DISPENSER PARA TOALHA INTERFOLHADA LALEKLA - LINHA EVOLUTION CÓD.30180225. OU EQUIVALENTE TÉCNICO</v>
          </cell>
          <cell r="D1089" t="str">
            <v>UND</v>
          </cell>
          <cell r="E1089">
            <v>1</v>
          </cell>
        </row>
        <row r="1090">
          <cell r="A1090" t="str">
            <v>CPU</v>
          </cell>
        </row>
        <row r="1091">
          <cell r="A1091" t="str">
            <v>CPU</v>
          </cell>
        </row>
        <row r="1092">
          <cell r="A1092" t="str">
            <v>CPU REFERÊNCIA:</v>
          </cell>
          <cell r="B1092" t="str">
            <v>REFERÊNCIA:</v>
          </cell>
          <cell r="C1092" t="str">
            <v>4287 - ORSE</v>
          </cell>
        </row>
        <row r="1093">
          <cell r="A1093" t="str">
            <v>CPU 104</v>
          </cell>
          <cell r="B1093">
            <v>104</v>
          </cell>
          <cell r="C1093" t="str">
            <v>DISPOSITIVO DE ALARME SONORO E VISUAL REF.: ARCO - 02 DISPOSITIVOS POR BANHEIRO COM DUPLO ACIONAMENTO, CONFORME NBR 9050/2015</v>
          </cell>
          <cell r="F1093" t="str">
            <v>OK</v>
          </cell>
        </row>
        <row r="1094">
          <cell r="A1094" t="str">
            <v>CPU MÃO DE OBRA</v>
          </cell>
          <cell r="B1094" t="str">
            <v>MÃO DE OBRA</v>
          </cell>
        </row>
        <row r="1095">
          <cell r="A1095" t="str">
            <v>CPU</v>
          </cell>
        </row>
        <row r="1096">
          <cell r="A1096" t="str">
            <v>CPU</v>
          </cell>
        </row>
        <row r="1097">
          <cell r="A1097" t="str">
            <v>CPU</v>
          </cell>
        </row>
        <row r="1098">
          <cell r="A1098" t="str">
            <v>CPU INSUMOS</v>
          </cell>
          <cell r="B1098" t="str">
            <v>INSUMOS</v>
          </cell>
        </row>
        <row r="1099">
          <cell r="A1099" t="str">
            <v>CPU COT</v>
          </cell>
          <cell r="B1099" t="str">
            <v>COT</v>
          </cell>
          <cell r="C1099" t="str">
            <v>DISPOSITIVO DE ALARME SONORO E VISUAL REF.: ARCO - 02 DISPOSITIVOS POR BANHEIRO COM DUPLO ACIONAMENTO, CONFORME NBR 9050/2015</v>
          </cell>
          <cell r="D1099" t="str">
            <v>UND</v>
          </cell>
          <cell r="E1099">
            <v>1</v>
          </cell>
        </row>
        <row r="1100">
          <cell r="A1100" t="str">
            <v>CPU</v>
          </cell>
        </row>
        <row r="1101">
          <cell r="A1101" t="str">
            <v>CPU</v>
          </cell>
        </row>
        <row r="1102">
          <cell r="A1102" t="str">
            <v>CPU REFERÊNCIA:</v>
          </cell>
          <cell r="B1102" t="str">
            <v>REFERÊNCIA:</v>
          </cell>
          <cell r="C1102" t="str">
            <v>12514 - ORSE</v>
          </cell>
        </row>
        <row r="1103">
          <cell r="A1103" t="str">
            <v>CPU 105</v>
          </cell>
          <cell r="B1103">
            <v>105</v>
          </cell>
          <cell r="C1103" t="str">
            <v>DISPOSITIVO DE PROTEÇÃO CONTRA SURTO - 275 V - 80 KA</v>
          </cell>
          <cell r="F1103" t="str">
            <v>OK</v>
          </cell>
        </row>
        <row r="1104">
          <cell r="A1104" t="str">
            <v>CPU MÃO DE OBRA</v>
          </cell>
          <cell r="B1104" t="str">
            <v>MÃO DE OBRA</v>
          </cell>
        </row>
        <row r="1105">
          <cell r="A1105" t="str">
            <v>CPU 88264</v>
          </cell>
          <cell r="B1105">
            <v>88264</v>
          </cell>
          <cell r="C1105" t="str">
            <v>ELETRICISTA COM ENCARGOS COMPLEMENTARES</v>
          </cell>
          <cell r="D1105" t="str">
            <v>H</v>
          </cell>
          <cell r="E1105">
            <v>0.3</v>
          </cell>
        </row>
        <row r="1106">
          <cell r="A1106" t="str">
            <v>CPU 88316</v>
          </cell>
          <cell r="B1106">
            <v>88316</v>
          </cell>
          <cell r="C1106" t="str">
            <v>SERVENTE COM ENCARGOS COMPLEMENTARES</v>
          </cell>
          <cell r="D1106" t="str">
            <v>H</v>
          </cell>
          <cell r="E1106">
            <v>0.3</v>
          </cell>
        </row>
        <row r="1107">
          <cell r="A1107" t="str">
            <v>CPU</v>
          </cell>
        </row>
        <row r="1108">
          <cell r="A1108" t="str">
            <v>CPU INSUMOS</v>
          </cell>
          <cell r="B1108" t="str">
            <v>INSUMOS</v>
          </cell>
        </row>
        <row r="1109">
          <cell r="A1109" t="str">
            <v>CPU COT</v>
          </cell>
          <cell r="B1109" t="str">
            <v>COT</v>
          </cell>
          <cell r="C1109" t="str">
            <v>DISPOSITIVO DE PROTEÇÃO CONTRA SURTO - 275 V - 80 KA</v>
          </cell>
          <cell r="D1109" t="str">
            <v>UND</v>
          </cell>
          <cell r="E1109">
            <v>1</v>
          </cell>
        </row>
        <row r="1110">
          <cell r="A1110" t="str">
            <v>CPU</v>
          </cell>
        </row>
        <row r="1111">
          <cell r="A1111" t="str">
            <v>CPU</v>
          </cell>
        </row>
        <row r="1112">
          <cell r="A1112" t="str">
            <v>CPU REFERÊNCIA:</v>
          </cell>
          <cell r="B1112" t="str">
            <v>REFERÊNCIA:</v>
          </cell>
          <cell r="C1112" t="str">
            <v>9041 - ORSE</v>
          </cell>
        </row>
        <row r="1113">
          <cell r="A1113" t="str">
            <v>CPU 106</v>
          </cell>
          <cell r="B1113">
            <v>106</v>
          </cell>
          <cell r="C1113" t="str">
            <v>DISPOSITIVO DE PROTEÇÃO CONTRA SURTO TRIPOLAR - CLASSE I/II - 275V - IIMP=12,5KA IMAX=60KA; IN=30KA</v>
          </cell>
          <cell r="F1113" t="str">
            <v>OK</v>
          </cell>
        </row>
        <row r="1114">
          <cell r="A1114" t="str">
            <v>CPU MÃO DE OBRA</v>
          </cell>
          <cell r="B1114" t="str">
            <v>MÃO DE OBRA</v>
          </cell>
        </row>
        <row r="1115">
          <cell r="A1115" t="str">
            <v>CPU 88264</v>
          </cell>
          <cell r="B1115">
            <v>88264</v>
          </cell>
          <cell r="C1115" t="str">
            <v>ELETRICISTA COM ENCARGOS COMPLEMENTARES</v>
          </cell>
          <cell r="D1115" t="str">
            <v>H</v>
          </cell>
          <cell r="E1115">
            <v>0.3</v>
          </cell>
        </row>
        <row r="1116">
          <cell r="A1116" t="str">
            <v>CPU 88316</v>
          </cell>
          <cell r="B1116">
            <v>88316</v>
          </cell>
          <cell r="C1116" t="str">
            <v>SERVENTE COM ENCARGOS COMPLEMENTARES</v>
          </cell>
          <cell r="D1116" t="str">
            <v>H</v>
          </cell>
          <cell r="E1116">
            <v>0.3</v>
          </cell>
        </row>
        <row r="1117">
          <cell r="A1117" t="str">
            <v>CPU</v>
          </cell>
        </row>
        <row r="1118">
          <cell r="A1118" t="str">
            <v>CPU INSUMOS</v>
          </cell>
          <cell r="B1118" t="str">
            <v>INSUMOS</v>
          </cell>
        </row>
        <row r="1119">
          <cell r="A1119" t="str">
            <v>CPU COT</v>
          </cell>
          <cell r="B1119" t="str">
            <v>COT</v>
          </cell>
          <cell r="C1119" t="str">
            <v>DISPOSITIVO DE PROTEÇÃO CONTRA SURTO TRIPOLAR - CLASSE I/II - 275V - IIMP=12,5KA IMAX=60KA; IN=30KA</v>
          </cell>
          <cell r="D1119" t="str">
            <v>UND</v>
          </cell>
          <cell r="E1119">
            <v>1</v>
          </cell>
        </row>
        <row r="1120">
          <cell r="A1120" t="str">
            <v>CPU</v>
          </cell>
        </row>
        <row r="1121">
          <cell r="A1121" t="str">
            <v>CPU</v>
          </cell>
        </row>
        <row r="1122">
          <cell r="A1122" t="str">
            <v>CPU REFERÊNCIA:</v>
          </cell>
          <cell r="B1122" t="str">
            <v>REFERÊNCIA:</v>
          </cell>
          <cell r="C1122" t="str">
            <v>9041 - ORSE</v>
          </cell>
        </row>
        <row r="1123">
          <cell r="A1123" t="str">
            <v>CPU 107</v>
          </cell>
          <cell r="B1123">
            <v>107</v>
          </cell>
          <cell r="C1123" t="str">
            <v>DPS MONOPOLAR CLASSE I 275V</v>
          </cell>
          <cell r="F1123" t="str">
            <v>OK</v>
          </cell>
        </row>
        <row r="1124">
          <cell r="A1124" t="str">
            <v>CPU MÃO DE OBRA</v>
          </cell>
          <cell r="B1124" t="str">
            <v>MÃO DE OBRA</v>
          </cell>
        </row>
        <row r="1125">
          <cell r="A1125" t="str">
            <v>CPU 88264</v>
          </cell>
          <cell r="B1125">
            <v>88264</v>
          </cell>
          <cell r="C1125" t="str">
            <v>ELETRICISTA COM ENCARGOS COMPLEMENTARES</v>
          </cell>
          <cell r="D1125" t="str">
            <v>H</v>
          </cell>
          <cell r="E1125">
            <v>0.3</v>
          </cell>
        </row>
        <row r="1126">
          <cell r="A1126" t="str">
            <v>CPU 88316</v>
          </cell>
          <cell r="B1126">
            <v>88316</v>
          </cell>
          <cell r="C1126" t="str">
            <v>SERVENTE COM ENCARGOS COMPLEMENTARES</v>
          </cell>
          <cell r="D1126" t="str">
            <v>H</v>
          </cell>
          <cell r="E1126">
            <v>0.3</v>
          </cell>
        </row>
        <row r="1127">
          <cell r="A1127" t="str">
            <v>CPU</v>
          </cell>
        </row>
        <row r="1128">
          <cell r="A1128" t="str">
            <v>CPU INSUMOS</v>
          </cell>
          <cell r="B1128" t="str">
            <v>INSUMOS</v>
          </cell>
        </row>
        <row r="1129">
          <cell r="A1129" t="str">
            <v>CPU COT</v>
          </cell>
          <cell r="B1129" t="str">
            <v>COT</v>
          </cell>
          <cell r="C1129" t="str">
            <v>DPS MONOPOLAR CLASSE I 275V</v>
          </cell>
          <cell r="D1129" t="str">
            <v>UND</v>
          </cell>
          <cell r="E1129">
            <v>1</v>
          </cell>
        </row>
        <row r="1130">
          <cell r="A1130" t="str">
            <v>CPU</v>
          </cell>
        </row>
        <row r="1131">
          <cell r="A1131" t="str">
            <v>CPU</v>
          </cell>
        </row>
        <row r="1132">
          <cell r="A1132" t="str">
            <v>CPU REFERÊNCIA:</v>
          </cell>
          <cell r="B1132" t="str">
            <v>REFERÊNCIA:</v>
          </cell>
          <cell r="C1132" t="str">
            <v>9041 - ORSE</v>
          </cell>
        </row>
        <row r="1133">
          <cell r="A1133" t="str">
            <v>CPU 108</v>
          </cell>
          <cell r="B1133">
            <v>108</v>
          </cell>
          <cell r="C1133" t="str">
            <v>DISJUNTOR DR 25A, 30MA</v>
          </cell>
          <cell r="F1133" t="str">
            <v>OK</v>
          </cell>
        </row>
        <row r="1134">
          <cell r="A1134" t="str">
            <v>CPU MÃO DE OBRA</v>
          </cell>
          <cell r="B1134" t="str">
            <v>MÃO DE OBRA</v>
          </cell>
        </row>
        <row r="1135">
          <cell r="A1135" t="str">
            <v>CPU 88264</v>
          </cell>
          <cell r="B1135">
            <v>88264</v>
          </cell>
          <cell r="C1135" t="str">
            <v>ELETRICISTA COM ENCARGOS COMPLEMENTARES</v>
          </cell>
          <cell r="D1135" t="str">
            <v>H</v>
          </cell>
          <cell r="E1135">
            <v>2</v>
          </cell>
        </row>
        <row r="1136">
          <cell r="A1136" t="str">
            <v>CPU 88316</v>
          </cell>
          <cell r="B1136">
            <v>88316</v>
          </cell>
          <cell r="C1136" t="str">
            <v>SERVENTE COM ENCARGOS COMPLEMENTARES</v>
          </cell>
          <cell r="D1136" t="str">
            <v>H</v>
          </cell>
          <cell r="E1136">
            <v>2</v>
          </cell>
        </row>
        <row r="1137">
          <cell r="A1137" t="str">
            <v>CPU</v>
          </cell>
        </row>
        <row r="1138">
          <cell r="A1138" t="str">
            <v>CPU INSUMOS</v>
          </cell>
          <cell r="B1138" t="str">
            <v>INSUMOS</v>
          </cell>
        </row>
        <row r="1139">
          <cell r="A1139" t="str">
            <v>CPU COT</v>
          </cell>
          <cell r="B1139" t="str">
            <v>COT</v>
          </cell>
          <cell r="C1139" t="str">
            <v>DISJUNTOR DR 25A, 30MA</v>
          </cell>
          <cell r="D1139" t="str">
            <v>UND</v>
          </cell>
          <cell r="E1139">
            <v>1</v>
          </cell>
        </row>
        <row r="1140">
          <cell r="A1140" t="str">
            <v>CPU</v>
          </cell>
        </row>
        <row r="1141">
          <cell r="A1141" t="str">
            <v>CPU</v>
          </cell>
        </row>
        <row r="1142">
          <cell r="A1142" t="str">
            <v>CPU REFERÊNCIA:</v>
          </cell>
          <cell r="B1142" t="str">
            <v>REFERÊNCIA:</v>
          </cell>
          <cell r="C1142" t="str">
            <v>13601 - ORSE</v>
          </cell>
        </row>
        <row r="1143">
          <cell r="A1143" t="str">
            <v>CPU 109</v>
          </cell>
          <cell r="B1143">
            <v>109</v>
          </cell>
          <cell r="C1143" t="str">
            <v>DUCHA HIGIENICA COM REGISTRO LINHA ASPEN REF 1984- C35 DECA OU EQUILVALENTE</v>
          </cell>
          <cell r="F1143" t="str">
            <v>OK</v>
          </cell>
        </row>
        <row r="1144">
          <cell r="A1144" t="str">
            <v>CPU MÃO DE OBRA</v>
          </cell>
          <cell r="B1144" t="str">
            <v>MÃO DE OBRA</v>
          </cell>
        </row>
        <row r="1145">
          <cell r="A1145" t="str">
            <v>CPU 88267</v>
          </cell>
          <cell r="B1145">
            <v>88267</v>
          </cell>
          <cell r="C1145" t="str">
            <v>ENCANADOR OU BOMBEIRO HIDRÁULICO COM ENCARGOS COMPLEMENTARES</v>
          </cell>
          <cell r="D1145" t="str">
            <v>H</v>
          </cell>
          <cell r="E1145">
            <v>0.5</v>
          </cell>
        </row>
        <row r="1146">
          <cell r="A1146" t="str">
            <v>CPU</v>
          </cell>
        </row>
        <row r="1147">
          <cell r="A1147" t="str">
            <v>CPU</v>
          </cell>
        </row>
        <row r="1148">
          <cell r="A1148" t="str">
            <v>CPU INSUMOS</v>
          </cell>
          <cell r="B1148" t="str">
            <v>INSUMOS</v>
          </cell>
        </row>
        <row r="1149">
          <cell r="A1149" t="str">
            <v>CPU COT</v>
          </cell>
          <cell r="B1149" t="str">
            <v>COT</v>
          </cell>
          <cell r="C1149" t="str">
            <v>DUCHA HIGIENICA COM REGISTRO LINHA ASPEN REF 1984- C35 DECA OU EQUILVALENTE</v>
          </cell>
          <cell r="D1149" t="str">
            <v>UND</v>
          </cell>
          <cell r="E1149">
            <v>1</v>
          </cell>
        </row>
        <row r="1150">
          <cell r="A1150" t="str">
            <v>CPU COT</v>
          </cell>
          <cell r="B1150" t="str">
            <v>COT</v>
          </cell>
          <cell r="C1150" t="str">
            <v>Fita veda rosca 18mm</v>
          </cell>
          <cell r="D1150" t="str">
            <v>M</v>
          </cell>
          <cell r="E1150">
            <v>0.42</v>
          </cell>
        </row>
        <row r="1151">
          <cell r="A1151" t="str">
            <v>CPU</v>
          </cell>
        </row>
        <row r="1152">
          <cell r="A1152" t="str">
            <v>CPU REFERÊNCIA:</v>
          </cell>
          <cell r="B1152" t="str">
            <v>REFERÊNCIA:</v>
          </cell>
          <cell r="C1152" t="str">
            <v>9503 - ORSE</v>
          </cell>
        </row>
        <row r="1153">
          <cell r="A1153" t="str">
            <v>CPU 110</v>
          </cell>
          <cell r="B1153">
            <v>110</v>
          </cell>
          <cell r="C1153" t="str">
            <v>ELETROCALHA LISA TIPO C - 100X50MM CHAPA 18</v>
          </cell>
          <cell r="F1153" t="str">
            <v>OK</v>
          </cell>
        </row>
        <row r="1154">
          <cell r="A1154" t="str">
            <v>CPU MÃO DE OBRA</v>
          </cell>
          <cell r="B1154" t="str">
            <v>MÃO DE OBRA</v>
          </cell>
        </row>
        <row r="1155">
          <cell r="A1155" t="str">
            <v>CPU 88264</v>
          </cell>
          <cell r="B1155">
            <v>88264</v>
          </cell>
          <cell r="C1155" t="str">
            <v>ELETRICISTA COM ENCARGOS COMPLEMENTARES</v>
          </cell>
          <cell r="D1155" t="str">
            <v>H</v>
          </cell>
          <cell r="E1155">
            <v>0.4</v>
          </cell>
        </row>
        <row r="1156">
          <cell r="A1156" t="str">
            <v>CPU 88316</v>
          </cell>
          <cell r="B1156">
            <v>88316</v>
          </cell>
          <cell r="C1156" t="str">
            <v>SERVENTE COM ENCARGOS COMPLEMENTARES</v>
          </cell>
          <cell r="D1156" t="str">
            <v>H</v>
          </cell>
          <cell r="E1156">
            <v>0.4</v>
          </cell>
        </row>
        <row r="1157">
          <cell r="A1157" t="str">
            <v>CPU</v>
          </cell>
        </row>
        <row r="1158">
          <cell r="A1158" t="str">
            <v>CPU INSUMOS</v>
          </cell>
          <cell r="B1158" t="str">
            <v>INSUMOS</v>
          </cell>
        </row>
        <row r="1159">
          <cell r="A1159" t="str">
            <v>CPU COT</v>
          </cell>
          <cell r="B1159" t="str">
            <v>COT</v>
          </cell>
          <cell r="C1159" t="str">
            <v>ELETROCALHA LISA TIPO C - 100X50MM CHAPA 18</v>
          </cell>
          <cell r="D1159" t="str">
            <v>M</v>
          </cell>
          <cell r="E1159">
            <v>1</v>
          </cell>
        </row>
        <row r="1160">
          <cell r="A1160" t="str">
            <v>CPU COT</v>
          </cell>
          <cell r="B1160" t="str">
            <v>COT</v>
          </cell>
          <cell r="C1160" t="str">
            <v>Tampa de encaixe 100 X3000 - Z para eletrocalha metálica (ref.: mopa ou similar)</v>
          </cell>
          <cell r="D1160" t="str">
            <v>M</v>
          </cell>
          <cell r="E1160">
            <v>1</v>
          </cell>
        </row>
        <row r="1161">
          <cell r="A1161" t="str">
            <v>CPU</v>
          </cell>
        </row>
        <row r="1162">
          <cell r="A1162" t="str">
            <v>CPU REFERÊNCIA:</v>
          </cell>
          <cell r="B1162" t="str">
            <v>REFERÊNCIA:</v>
          </cell>
          <cell r="C1162" t="str">
            <v>8359 - ORSE</v>
          </cell>
        </row>
        <row r="1163">
          <cell r="A1163" t="str">
            <v>CPU 111</v>
          </cell>
          <cell r="B1163">
            <v>111</v>
          </cell>
          <cell r="C1163" t="str">
            <v>ELETROCALHA LISA TIPO C - 50X25MM CHAPA 18</v>
          </cell>
          <cell r="F1163" t="str">
            <v>OK</v>
          </cell>
        </row>
        <row r="1164">
          <cell r="A1164" t="str">
            <v>CPU MÃO DE OBRA</v>
          </cell>
          <cell r="B1164" t="str">
            <v>MÃO DE OBRA</v>
          </cell>
        </row>
        <row r="1165">
          <cell r="A1165" t="str">
            <v>CPU 88264</v>
          </cell>
          <cell r="B1165">
            <v>88264</v>
          </cell>
          <cell r="C1165" t="str">
            <v>ELETRICISTA COM ENCARGOS COMPLEMENTARES</v>
          </cell>
          <cell r="D1165" t="str">
            <v>H</v>
          </cell>
          <cell r="E1165">
            <v>0.2</v>
          </cell>
        </row>
        <row r="1166">
          <cell r="A1166" t="str">
            <v>CPU 88316</v>
          </cell>
          <cell r="B1166">
            <v>88316</v>
          </cell>
          <cell r="C1166" t="str">
            <v>SERVENTE COM ENCARGOS COMPLEMENTARES</v>
          </cell>
          <cell r="D1166" t="str">
            <v>H</v>
          </cell>
          <cell r="E1166">
            <v>0.2</v>
          </cell>
        </row>
        <row r="1167">
          <cell r="A1167" t="str">
            <v>CPU</v>
          </cell>
        </row>
        <row r="1168">
          <cell r="A1168" t="str">
            <v>CPU INSUMOS</v>
          </cell>
          <cell r="B1168" t="str">
            <v>INSUMOS</v>
          </cell>
        </row>
        <row r="1169">
          <cell r="A1169" t="str">
            <v>CPU COT</v>
          </cell>
          <cell r="B1169" t="str">
            <v>COT</v>
          </cell>
          <cell r="C1169" t="str">
            <v>ELETROCALHA LISA TIPO C - 50X25MM CHAPA 18</v>
          </cell>
          <cell r="D1169" t="str">
            <v>UND</v>
          </cell>
          <cell r="E1169">
            <v>1</v>
          </cell>
        </row>
        <row r="1170">
          <cell r="A1170" t="str">
            <v>CPU</v>
          </cell>
        </row>
        <row r="1171">
          <cell r="A1171" t="str">
            <v>CPU</v>
          </cell>
        </row>
        <row r="1172">
          <cell r="A1172" t="str">
            <v>CPU REFERÊNCIA:</v>
          </cell>
          <cell r="B1172" t="str">
            <v>REFERÊNCIA:</v>
          </cell>
          <cell r="C1172" t="str">
            <v>765 - ORSE</v>
          </cell>
        </row>
        <row r="1173">
          <cell r="A1173" t="str">
            <v>CPU 112</v>
          </cell>
          <cell r="B1173">
            <v>112</v>
          </cell>
          <cell r="C1173" t="str">
            <v>ESPELHO TIPO CRISTAL, ESPESSURA 6MM FIXADO COM PARAFUSOS E BOTÕES DE ACAB. EM INOX BRIL., FAB.: BLINDEX, OU EQUIVALENTE.</v>
          </cell>
          <cell r="F1173" t="str">
            <v>OK</v>
          </cell>
        </row>
        <row r="1174">
          <cell r="A1174" t="str">
            <v>CPU MÃO DE OBRA</v>
          </cell>
          <cell r="B1174" t="str">
            <v>MÃO DE OBRA</v>
          </cell>
        </row>
        <row r="1175">
          <cell r="A1175" t="str">
            <v>CPU 10489</v>
          </cell>
          <cell r="B1175">
            <v>10489</v>
          </cell>
          <cell r="C1175" t="str">
            <v>VIDRACEIRO</v>
          </cell>
          <cell r="D1175" t="str">
            <v>H</v>
          </cell>
          <cell r="E1175">
            <v>1.74</v>
          </cell>
        </row>
        <row r="1176">
          <cell r="A1176" t="str">
            <v>CPU 88243</v>
          </cell>
          <cell r="B1176">
            <v>88243</v>
          </cell>
          <cell r="C1176" t="str">
            <v>AJUDANTE ESPECIALIZADO</v>
          </cell>
          <cell r="D1176" t="str">
            <v>H</v>
          </cell>
          <cell r="E1176">
            <v>1.74</v>
          </cell>
        </row>
        <row r="1177">
          <cell r="A1177" t="str">
            <v>CPU</v>
          </cell>
        </row>
        <row r="1178">
          <cell r="A1178" t="str">
            <v>CPU INSUMOS</v>
          </cell>
          <cell r="B1178" t="str">
            <v>INSUMOS</v>
          </cell>
        </row>
        <row r="1179">
          <cell r="A1179" t="str">
            <v>CPU COT</v>
          </cell>
          <cell r="B1179" t="str">
            <v>COT</v>
          </cell>
          <cell r="C1179" t="str">
            <v>PERFIL ALUMINIO ANODIZADO BRONZE CHAPA 18mm</v>
          </cell>
          <cell r="D1179" t="str">
            <v>M</v>
          </cell>
          <cell r="E1179">
            <v>5</v>
          </cell>
        </row>
        <row r="1180">
          <cell r="A1180" t="str">
            <v>CPU COT</v>
          </cell>
          <cell r="B1180" t="str">
            <v>COT</v>
          </cell>
          <cell r="C1180" t="str">
            <v>ESPELHO CRISTAL 6mm</v>
          </cell>
          <cell r="D1180" t="str">
            <v>M2</v>
          </cell>
          <cell r="E1180">
            <v>2.65</v>
          </cell>
        </row>
        <row r="1181">
          <cell r="A1181" t="str">
            <v>CPU</v>
          </cell>
        </row>
        <row r="1182">
          <cell r="A1182" t="str">
            <v>CPU REFERÊNCIA:</v>
          </cell>
          <cell r="B1182" t="str">
            <v>REFERÊNCIA:</v>
          </cell>
          <cell r="C1182" t="str">
            <v>190462 - SBC</v>
          </cell>
        </row>
        <row r="1183">
          <cell r="A1183" t="str">
            <v>CPU 113</v>
          </cell>
          <cell r="B1183">
            <v>113</v>
          </cell>
          <cell r="C1183" t="str">
            <v>EXTINTOR PORTÁTIL CLASSE K DE 6 LITROS</v>
          </cell>
          <cell r="F1183" t="str">
            <v>OK</v>
          </cell>
        </row>
        <row r="1184">
          <cell r="A1184" t="str">
            <v>CPU MÃO DE OBRA</v>
          </cell>
          <cell r="B1184" t="str">
            <v>MÃO DE OBRA</v>
          </cell>
        </row>
        <row r="1185">
          <cell r="A1185" t="str">
            <v>CPU 88248</v>
          </cell>
          <cell r="B1185">
            <v>88248</v>
          </cell>
          <cell r="C1185" t="str">
            <v>AUXILIAR DE ENCANADOR OU BOMBEIRO HIDRÁULICO COM ENCARGOS COMPLEMENTARES</v>
          </cell>
          <cell r="D1185" t="str">
            <v>H</v>
          </cell>
          <cell r="E1185">
            <v>0.45</v>
          </cell>
        </row>
        <row r="1186">
          <cell r="A1186" t="str">
            <v>CPU 88267</v>
          </cell>
          <cell r="B1186">
            <v>88267</v>
          </cell>
          <cell r="C1186" t="str">
            <v>ENCANADOR OU BOMBEIRO HIDRÁULICO COM ENCARGOS COMPLEMENTARES</v>
          </cell>
          <cell r="D1186" t="str">
            <v>H</v>
          </cell>
          <cell r="E1186">
            <v>0.45</v>
          </cell>
        </row>
        <row r="1187">
          <cell r="A1187" t="str">
            <v>CPU</v>
          </cell>
        </row>
        <row r="1188">
          <cell r="A1188" t="str">
            <v>CPU INSUMOS</v>
          </cell>
          <cell r="B1188" t="str">
            <v>INSUMOS</v>
          </cell>
        </row>
        <row r="1189">
          <cell r="A1189" t="str">
            <v>CPU COT</v>
          </cell>
          <cell r="B1189" t="str">
            <v>COT</v>
          </cell>
          <cell r="C1189" t="str">
            <v>EXTINTOR PORTÁTIL CLASSE K DE 6 LITROS</v>
          </cell>
          <cell r="D1189" t="str">
            <v>UND</v>
          </cell>
          <cell r="E1189">
            <v>1</v>
          </cell>
        </row>
        <row r="1190">
          <cell r="A1190" t="str">
            <v>CPU 00004350</v>
          </cell>
          <cell r="B1190" t="str">
            <v>00004350</v>
          </cell>
          <cell r="C1190" t="str">
            <v>BUCHA DE NYLON, DIAMETRO DO FURO 8 MM, COMPRIMENTO 40 MM, COM PARAFUSO DE ROSCA SOBERBA, CABECA CHATA, FENDA SIMPLES, 4,8 X 50 MM</v>
          </cell>
          <cell r="D1190" t="str">
            <v>UND</v>
          </cell>
          <cell r="E1190">
            <v>2</v>
          </cell>
        </row>
        <row r="1191">
          <cell r="A1191" t="str">
            <v>CPU</v>
          </cell>
        </row>
        <row r="1192">
          <cell r="A1192" t="str">
            <v>CPU REFERÊNCIA:</v>
          </cell>
          <cell r="B1192" t="str">
            <v>REFERÊNCIA:</v>
          </cell>
          <cell r="C1192" t="str">
            <v>101907 - SINAPÍ</v>
          </cell>
        </row>
        <row r="1193">
          <cell r="A1193" t="str">
            <v>CPU 114</v>
          </cell>
          <cell r="B1193">
            <v>114</v>
          </cell>
          <cell r="C1193" t="str">
            <v>FIO DE AÇO COBREADO 4 AWG (METROS)</v>
          </cell>
          <cell r="F1193" t="str">
            <v>NÃO</v>
          </cell>
        </row>
        <row r="1194">
          <cell r="A1194" t="str">
            <v>CPU MÃO DE OBRA</v>
          </cell>
          <cell r="B1194" t="str">
            <v>MÃO DE OBRA</v>
          </cell>
        </row>
        <row r="1195">
          <cell r="A1195" t="str">
            <v>CPU</v>
          </cell>
        </row>
        <row r="1196">
          <cell r="A1196" t="str">
            <v>CPU</v>
          </cell>
        </row>
        <row r="1197">
          <cell r="A1197" t="str">
            <v>CPU</v>
          </cell>
        </row>
        <row r="1198">
          <cell r="A1198" t="str">
            <v>CPU INSUMOS</v>
          </cell>
          <cell r="B1198" t="str">
            <v>INSUMOS</v>
          </cell>
        </row>
        <row r="1199">
          <cell r="A1199" t="str">
            <v>CPU</v>
          </cell>
          <cell r="C1199" t="str">
            <v>FIO DE AÇO COBREADO 4 AWG (METROS)</v>
          </cell>
        </row>
        <row r="1200">
          <cell r="A1200" t="str">
            <v>CPU</v>
          </cell>
        </row>
        <row r="1201">
          <cell r="A1201" t="str">
            <v>CPU</v>
          </cell>
        </row>
        <row r="1202">
          <cell r="A1202" t="str">
            <v>CPU REFERÊNCIA:</v>
          </cell>
          <cell r="B1202" t="str">
            <v>REFERÊNCIA:</v>
          </cell>
          <cell r="C1202" t="str">
            <v>2848 - ORSE</v>
          </cell>
        </row>
        <row r="1203">
          <cell r="A1203" t="str">
            <v>CPU 115</v>
          </cell>
          <cell r="B1203">
            <v>115</v>
          </cell>
          <cell r="C1203" t="str">
            <v>FITA DE AÇO INOXIDÁVEL - 0.50MM</v>
          </cell>
          <cell r="F1203" t="str">
            <v>OK</v>
          </cell>
        </row>
        <row r="1204">
          <cell r="A1204" t="str">
            <v>CPU MÃO DE OBRA</v>
          </cell>
          <cell r="B1204" t="str">
            <v>MÃO DE OBRA</v>
          </cell>
        </row>
        <row r="1205">
          <cell r="A1205" t="str">
            <v>CPU 88247</v>
          </cell>
          <cell r="B1205">
            <v>88247</v>
          </cell>
          <cell r="C1205" t="str">
            <v>AUXILIAR DE ELETRICISTA COM ENCARGOS COMPLEMENTARES</v>
          </cell>
          <cell r="D1205" t="str">
            <v>H</v>
          </cell>
          <cell r="E1205">
            <v>0.2</v>
          </cell>
        </row>
        <row r="1206">
          <cell r="A1206" t="str">
            <v>CPU 88264</v>
          </cell>
          <cell r="B1206">
            <v>88264</v>
          </cell>
          <cell r="C1206" t="str">
            <v>ELETRICISTA COM ENCARGOS COMPLEMENTARES</v>
          </cell>
          <cell r="D1206" t="str">
            <v>H</v>
          </cell>
          <cell r="E1206">
            <v>0.2</v>
          </cell>
        </row>
        <row r="1207">
          <cell r="A1207" t="str">
            <v>CPU</v>
          </cell>
        </row>
        <row r="1208">
          <cell r="A1208" t="str">
            <v>CPU INSUMOS</v>
          </cell>
          <cell r="B1208" t="str">
            <v>INSUMOS</v>
          </cell>
        </row>
        <row r="1209">
          <cell r="A1209" t="str">
            <v>CPU COT</v>
          </cell>
          <cell r="B1209" t="str">
            <v>COT</v>
          </cell>
          <cell r="C1209" t="str">
            <v>Fita em aço inoxidável para poste tubular; comprimento de 0,50 m, largura de 19 mm</v>
          </cell>
          <cell r="D1209" t="str">
            <v>M</v>
          </cell>
          <cell r="E1209">
            <v>0.5</v>
          </cell>
        </row>
        <row r="1210">
          <cell r="A1210" t="str">
            <v>CPU COT</v>
          </cell>
          <cell r="B1210" t="str">
            <v>COT</v>
          </cell>
          <cell r="C1210" t="str">
            <v>Fecho em aço inoxidável para fita de 19 mm</v>
          </cell>
          <cell r="D1210" t="str">
            <v>UND</v>
          </cell>
          <cell r="E1210">
            <v>1</v>
          </cell>
        </row>
        <row r="1211">
          <cell r="A1211" t="str">
            <v>CPU</v>
          </cell>
        </row>
        <row r="1212">
          <cell r="A1212" t="str">
            <v>CPU REFERÊNCIA:</v>
          </cell>
          <cell r="B1212" t="str">
            <v>REFERÊNCIA:</v>
          </cell>
          <cell r="C1212" t="str">
            <v>69.20.070 - CPOS</v>
          </cell>
        </row>
        <row r="1213">
          <cell r="A1213" t="str">
            <v>CPU 116</v>
          </cell>
          <cell r="B1213">
            <v>116</v>
          </cell>
          <cell r="C1213" t="str">
            <v>FIXADOR TIPO ÔMEGA EM COBRE COM FUROS Ø5MM E TRAVA PARA CABO DE COBRE 35MM² TEL 833 OU EQUIVALENTE TÉCNICO</v>
          </cell>
          <cell r="F1213" t="str">
            <v>OK</v>
          </cell>
        </row>
        <row r="1214">
          <cell r="A1214" t="str">
            <v>CPU MÃO DE OBRA</v>
          </cell>
          <cell r="B1214" t="str">
            <v>MÃO DE OBRA</v>
          </cell>
        </row>
        <row r="1215">
          <cell r="A1215" t="str">
            <v>CPU 101445</v>
          </cell>
          <cell r="B1215">
            <v>101445</v>
          </cell>
          <cell r="C1215" t="str">
            <v>PEDREIRO COM ENCARGOS</v>
          </cell>
          <cell r="D1215" t="str">
            <v>H</v>
          </cell>
          <cell r="E1215">
            <v>0.01</v>
          </cell>
        </row>
        <row r="1216">
          <cell r="A1216" t="str">
            <v>CPU</v>
          </cell>
        </row>
        <row r="1217">
          <cell r="A1217" t="str">
            <v>CPU</v>
          </cell>
        </row>
        <row r="1218">
          <cell r="A1218" t="str">
            <v>CPU INSUMOS</v>
          </cell>
          <cell r="B1218" t="str">
            <v>INSUMOS</v>
          </cell>
        </row>
        <row r="1219">
          <cell r="A1219" t="str">
            <v>CPU COT</v>
          </cell>
          <cell r="B1219" t="str">
            <v>COT</v>
          </cell>
          <cell r="C1219" t="str">
            <v>FIXADOR TIPO ÔMEGA EM COBRE COM FUROS Ø5MM E TRAVA PARA CABO DE COBRE 35MM² TEL 833 OU EQUIVALENTE TÉCNICO</v>
          </cell>
          <cell r="D1219" t="str">
            <v>UND</v>
          </cell>
          <cell r="E1219">
            <v>1</v>
          </cell>
        </row>
        <row r="1220">
          <cell r="A1220" t="str">
            <v>CPU</v>
          </cell>
        </row>
        <row r="1221">
          <cell r="A1221" t="str">
            <v>CPU</v>
          </cell>
        </row>
        <row r="1222">
          <cell r="A1222" t="str">
            <v>CPU REFERÊNCIA:</v>
          </cell>
          <cell r="B1222" t="str">
            <v>REFERÊNCIA:</v>
          </cell>
          <cell r="C1222" t="str">
            <v>10091 - ORSE</v>
          </cell>
        </row>
        <row r="1223">
          <cell r="A1223" t="str">
            <v>CPU 117</v>
          </cell>
          <cell r="B1223">
            <v>117</v>
          </cell>
          <cell r="C1223" t="str">
            <v>FORNECIMENTO E INSTALAÇÃO DE BARRA DE APOIO RETA EM TUBO DE AÇO INOX 304 POLIDO, 40 CM (PCD).</v>
          </cell>
          <cell r="F1223" t="str">
            <v>OK</v>
          </cell>
        </row>
        <row r="1224">
          <cell r="A1224" t="str">
            <v>CPU MÃO DE OBRA</v>
          </cell>
          <cell r="B1224" t="str">
            <v>MÃO DE OBRA</v>
          </cell>
        </row>
        <row r="1225">
          <cell r="A1225" t="str">
            <v>CPU 101445</v>
          </cell>
          <cell r="B1225">
            <v>101445</v>
          </cell>
          <cell r="C1225" t="str">
            <v>PEDREIRO COM ENCARGOS</v>
          </cell>
          <cell r="D1225" t="str">
            <v>H</v>
          </cell>
          <cell r="E1225">
            <v>0.3</v>
          </cell>
        </row>
        <row r="1226">
          <cell r="A1226" t="str">
            <v>CPU</v>
          </cell>
        </row>
        <row r="1227">
          <cell r="A1227" t="str">
            <v>CPU</v>
          </cell>
        </row>
        <row r="1228">
          <cell r="A1228" t="str">
            <v>CPU INSUMOS</v>
          </cell>
          <cell r="B1228" t="str">
            <v>INSUMOS</v>
          </cell>
        </row>
        <row r="1229">
          <cell r="A1229" t="str">
            <v>CPU COT</v>
          </cell>
          <cell r="B1229" t="str">
            <v>COT</v>
          </cell>
          <cell r="C1229" t="str">
            <v>BARRA DE APOIO RETA EM TUBO DE AÇO INOX 304 POLIDO, 40 CM (PCD).</v>
          </cell>
          <cell r="D1229" t="str">
            <v>UND</v>
          </cell>
          <cell r="E1229">
            <v>1</v>
          </cell>
        </row>
        <row r="1230">
          <cell r="A1230" t="str">
            <v>CPU</v>
          </cell>
        </row>
        <row r="1231">
          <cell r="A1231" t="str">
            <v>CPU</v>
          </cell>
        </row>
        <row r="1232">
          <cell r="A1232" t="str">
            <v>CPU REFERÊNCIA:</v>
          </cell>
          <cell r="B1232" t="str">
            <v>REFERÊNCIA:</v>
          </cell>
          <cell r="C1232" t="str">
            <v>13110 - ORSE</v>
          </cell>
        </row>
        <row r="1233">
          <cell r="A1233" t="str">
            <v>CPU 118</v>
          </cell>
          <cell r="B1233">
            <v>118</v>
          </cell>
          <cell r="C1233" t="str">
            <v>FORNECIMENTO E INSTALAÇÃO DE BLOCO IDC-100 PARES INTERNO, IDC-IDC, PADRÃO 19"</v>
          </cell>
          <cell r="F1233" t="str">
            <v>OK</v>
          </cell>
        </row>
        <row r="1234">
          <cell r="A1234" t="str">
            <v>CPU MÃO DE OBRA</v>
          </cell>
          <cell r="B1234" t="str">
            <v>MÃO DE OBRA</v>
          </cell>
        </row>
        <row r="1235">
          <cell r="A1235" t="str">
            <v>CPU 242</v>
          </cell>
          <cell r="B1235">
            <v>242</v>
          </cell>
          <cell r="C1235" t="str">
            <v>AJUDANTE ESPECIALIZADO</v>
          </cell>
          <cell r="D1235" t="str">
            <v>H</v>
          </cell>
          <cell r="E1235">
            <v>1.94</v>
          </cell>
        </row>
        <row r="1236">
          <cell r="A1236" t="str">
            <v>CPU 2438</v>
          </cell>
          <cell r="B1236">
            <v>2438</v>
          </cell>
          <cell r="C1236" t="str">
            <v>ELETROTECNICO (HORISTA)</v>
          </cell>
          <cell r="D1236" t="str">
            <v>H</v>
          </cell>
          <cell r="E1236">
            <v>1.94</v>
          </cell>
        </row>
        <row r="1237">
          <cell r="A1237" t="str">
            <v>CPU</v>
          </cell>
        </row>
        <row r="1238">
          <cell r="A1238" t="str">
            <v>CPU INSUMOS</v>
          </cell>
          <cell r="B1238" t="str">
            <v>INSUMOS</v>
          </cell>
        </row>
        <row r="1239">
          <cell r="A1239" t="str">
            <v>CPU COT</v>
          </cell>
          <cell r="B1239" t="str">
            <v>COT</v>
          </cell>
          <cell r="C1239" t="str">
            <v>BLOCO IDC-100 PARES INTERNO, IDC-IDC, PADRÃO 19"</v>
          </cell>
          <cell r="D1239" t="str">
            <v>UND</v>
          </cell>
          <cell r="E1239">
            <v>1</v>
          </cell>
        </row>
        <row r="1240">
          <cell r="A1240" t="str">
            <v>CPU</v>
          </cell>
        </row>
        <row r="1241">
          <cell r="A1241" t="str">
            <v>CPU</v>
          </cell>
        </row>
        <row r="1242">
          <cell r="A1242" t="str">
            <v>CPU REFERÊNCIA:</v>
          </cell>
          <cell r="B1242" t="str">
            <v>REFERÊNCIA:</v>
          </cell>
          <cell r="C1242" t="str">
            <v>059427SBC</v>
          </cell>
        </row>
        <row r="1243">
          <cell r="A1243" t="str">
            <v>CPU 119</v>
          </cell>
          <cell r="B1243">
            <v>119</v>
          </cell>
          <cell r="C1243" t="str">
            <v>ELETROCALHA METÁLICA PERFURADA 150 X 100 X 3000MM</v>
          </cell>
          <cell r="F1243" t="str">
            <v>OK</v>
          </cell>
        </row>
        <row r="1244">
          <cell r="A1244" t="str">
            <v>CPU MÃO DE OBRA</v>
          </cell>
          <cell r="B1244" t="str">
            <v>MÃO DE OBRA</v>
          </cell>
        </row>
        <row r="1245">
          <cell r="A1245" t="str">
            <v>CPU 88264</v>
          </cell>
          <cell r="B1245">
            <v>88264</v>
          </cell>
          <cell r="C1245" t="str">
            <v>ELETRICISTA COM ENCARGOS COMPLEMENTARES</v>
          </cell>
          <cell r="D1245" t="str">
            <v>H</v>
          </cell>
          <cell r="E1245">
            <v>0.4</v>
          </cell>
        </row>
        <row r="1246">
          <cell r="A1246" t="str">
            <v>CPU 88316</v>
          </cell>
          <cell r="B1246">
            <v>88316</v>
          </cell>
          <cell r="C1246" t="str">
            <v>SERVENTE COM ENCARGOS COMPLEMENTARES</v>
          </cell>
          <cell r="D1246" t="str">
            <v>H</v>
          </cell>
          <cell r="E1246">
            <v>0.4</v>
          </cell>
        </row>
        <row r="1247">
          <cell r="A1247" t="str">
            <v>CPU</v>
          </cell>
        </row>
        <row r="1248">
          <cell r="A1248" t="str">
            <v>CPU INSUMOS</v>
          </cell>
          <cell r="B1248" t="str">
            <v>INSUMOS</v>
          </cell>
        </row>
        <row r="1249">
          <cell r="A1249" t="str">
            <v>CPU COT</v>
          </cell>
          <cell r="B1249" t="str">
            <v>COT</v>
          </cell>
          <cell r="C1249" t="str">
            <v>ELETROCALHA METÁLICA PERFURADA 150 X 100 X 3000MM</v>
          </cell>
          <cell r="D1249" t="str">
            <v>M</v>
          </cell>
          <cell r="E1249">
            <v>1</v>
          </cell>
        </row>
        <row r="1250">
          <cell r="A1250" t="str">
            <v>CPU</v>
          </cell>
        </row>
        <row r="1251">
          <cell r="A1251" t="str">
            <v>CPU</v>
          </cell>
        </row>
        <row r="1252">
          <cell r="A1252" t="str">
            <v>CPU REFERÊNCIA:</v>
          </cell>
          <cell r="B1252" t="str">
            <v>REFERÊNCIA:</v>
          </cell>
          <cell r="C1252" t="str">
            <v>762 - ORSE</v>
          </cell>
        </row>
        <row r="1253">
          <cell r="A1253" t="str">
            <v>CPU 120</v>
          </cell>
          <cell r="B1253">
            <v>120</v>
          </cell>
          <cell r="C1253" t="str">
            <v>FORNECIMENTO E INSTALAÇÃO DE VOICE PAINEL VOICE PANEL 50 PORTAS - CAT.3</v>
          </cell>
          <cell r="F1253" t="str">
            <v>OK</v>
          </cell>
        </row>
        <row r="1254">
          <cell r="A1254" t="str">
            <v>CPU MÃO DE OBRA</v>
          </cell>
          <cell r="B1254" t="str">
            <v>MÃO DE OBRA</v>
          </cell>
        </row>
        <row r="1255">
          <cell r="A1255" t="str">
            <v>CPU 88247</v>
          </cell>
          <cell r="B1255">
            <v>88247</v>
          </cell>
          <cell r="C1255" t="str">
            <v>AUXILIAR DE ELETRICISTA COM ENCARGOS COMPLEMENTARES</v>
          </cell>
          <cell r="D1255" t="str">
            <v>H</v>
          </cell>
          <cell r="E1255">
            <v>0.8</v>
          </cell>
        </row>
        <row r="1256">
          <cell r="A1256" t="str">
            <v>CPU 88264</v>
          </cell>
          <cell r="B1256">
            <v>88264</v>
          </cell>
          <cell r="C1256" t="str">
            <v>ELETRICISTA COM ENCARGOS COMPLEMENTARES</v>
          </cell>
          <cell r="D1256" t="str">
            <v>H</v>
          </cell>
          <cell r="E1256">
            <v>0.8</v>
          </cell>
        </row>
        <row r="1257">
          <cell r="A1257" t="str">
            <v>CPU</v>
          </cell>
        </row>
        <row r="1258">
          <cell r="A1258" t="str">
            <v>CPU INSUMOS</v>
          </cell>
          <cell r="B1258" t="str">
            <v>INSUMOS</v>
          </cell>
        </row>
        <row r="1259">
          <cell r="A1259" t="str">
            <v>CPU COT</v>
          </cell>
          <cell r="B1259" t="str">
            <v>COT</v>
          </cell>
          <cell r="C1259" t="str">
            <v>VOICE PAINEL VOICE PANEL 50 PORTAS - CAT.3</v>
          </cell>
          <cell r="D1259" t="str">
            <v>UND</v>
          </cell>
          <cell r="E1259">
            <v>1</v>
          </cell>
        </row>
        <row r="1260">
          <cell r="A1260" t="str">
            <v>CPU</v>
          </cell>
        </row>
        <row r="1261">
          <cell r="A1261" t="str">
            <v>CPU</v>
          </cell>
        </row>
        <row r="1262">
          <cell r="A1262" t="str">
            <v>CPU REFERÊNCIA:</v>
          </cell>
          <cell r="B1262" t="str">
            <v>REFERÊNCIA:</v>
          </cell>
          <cell r="C1262" t="str">
            <v>69.09.300 - CPOS</v>
          </cell>
        </row>
        <row r="1263">
          <cell r="A1263" t="str">
            <v>CPU 121</v>
          </cell>
          <cell r="B1263">
            <v>121</v>
          </cell>
          <cell r="C1263" t="str">
            <v>FORRO TERMOACÚSTICO</v>
          </cell>
          <cell r="F1263" t="str">
            <v>OK</v>
          </cell>
        </row>
        <row r="1264">
          <cell r="A1264" t="str">
            <v>CPU MÃO DE OBRA</v>
          </cell>
          <cell r="B1264" t="str">
            <v>MÃO DE OBRA</v>
          </cell>
        </row>
        <row r="1265">
          <cell r="A1265" t="str">
            <v>CPU 88316</v>
          </cell>
          <cell r="B1265">
            <v>88316</v>
          </cell>
          <cell r="C1265" t="str">
            <v>SERVENTE COM ENCARGOS COMPLEMENTARES</v>
          </cell>
          <cell r="D1265" t="str">
            <v>H</v>
          </cell>
          <cell r="E1265">
            <v>0.1</v>
          </cell>
        </row>
        <row r="1266">
          <cell r="A1266" t="str">
            <v>CPU 88277</v>
          </cell>
          <cell r="B1266">
            <v>88277</v>
          </cell>
          <cell r="C1266" t="str">
            <v>MONTADOR</v>
          </cell>
          <cell r="D1266" t="str">
            <v>H</v>
          </cell>
          <cell r="E1266">
            <v>0.35</v>
          </cell>
        </row>
        <row r="1267">
          <cell r="A1267" t="str">
            <v>CPU</v>
          </cell>
        </row>
        <row r="1268">
          <cell r="A1268" t="str">
            <v>CPU INSUMOS</v>
          </cell>
          <cell r="B1268" t="str">
            <v>INSUMOS</v>
          </cell>
        </row>
        <row r="1269">
          <cell r="A1269" t="str">
            <v>CPU COT</v>
          </cell>
          <cell r="B1269" t="str">
            <v>COT</v>
          </cell>
          <cell r="C1269" t="str">
            <v>CHAPA DE GESSO ACARTONADO, PERFURADA, CO R BRANCA, ESPESSURA DE 12,5MM, 1200X2000 MM (LXC)</v>
          </cell>
          <cell r="D1269" t="str">
            <v>M2</v>
          </cell>
          <cell r="E1269">
            <v>1.05</v>
          </cell>
        </row>
        <row r="1270">
          <cell r="A1270" t="str">
            <v>CPU COT</v>
          </cell>
          <cell r="B1270" t="str">
            <v>COT</v>
          </cell>
          <cell r="C1270" t="str">
            <v>FITA DE PAPEL MICROPERFURADO 50X150MM, P ARA TRATAMENTO DE JUNTAS DE CHAPA DE GES SO PARA DRYWALL</v>
          </cell>
          <cell r="D1270" t="str">
            <v>M2</v>
          </cell>
          <cell r="E1270">
            <v>1.4</v>
          </cell>
        </row>
        <row r="1271">
          <cell r="A1271" t="str">
            <v>CPU COT</v>
          </cell>
          <cell r="B1271" t="str">
            <v>COT</v>
          </cell>
          <cell r="C1271" t="str">
            <v>MASSA P/REJUNTE (EM PO),P/DRYWALL,A BASE DE GESSO,SECAGEM RAPIDA,P/TRAT. DE JUNT AS DE CHAPA DE GESSO(C/ADICAO DE AGUA)</v>
          </cell>
          <cell r="D1271" t="str">
            <v>KG</v>
          </cell>
          <cell r="E1271">
            <v>0.35</v>
          </cell>
        </row>
        <row r="1272">
          <cell r="A1272" t="str">
            <v>CPU COT</v>
          </cell>
          <cell r="B1272" t="str">
            <v>COT</v>
          </cell>
          <cell r="C1272" t="str">
            <v>PERFIL L 25X30, EM ACO ZINCADO, PARA EST RUTURA PAREDE DRYWALL, ESP=0,5MM, 25X30X 3000MM (LXC)</v>
          </cell>
          <cell r="D1272" t="str">
            <v>M</v>
          </cell>
          <cell r="E1272">
            <v>1</v>
          </cell>
        </row>
        <row r="1273">
          <cell r="A1273" t="str">
            <v>CPU COT</v>
          </cell>
          <cell r="B1273" t="str">
            <v>COT</v>
          </cell>
          <cell r="C1273" t="str">
            <v>PERFIL PARA TETO, EM ACO ZINCADO, TIPO F47, ESP=0,5MM, 47X3000MM (LXC)</v>
          </cell>
          <cell r="D1273" t="str">
            <v>M</v>
          </cell>
          <cell r="E1273">
            <v>2.62</v>
          </cell>
        </row>
        <row r="1274">
          <cell r="A1274" t="str">
            <v>CPU COT</v>
          </cell>
          <cell r="B1274" t="str">
            <v>COT</v>
          </cell>
          <cell r="C1274" t="str">
            <v>ARAME GALVANIZADO 10BWG, 3,40MM (0,0713K G/M)</v>
          </cell>
          <cell r="D1274" t="str">
            <v>KG</v>
          </cell>
          <cell r="E1274">
            <v>0.03</v>
          </cell>
        </row>
        <row r="1275">
          <cell r="A1275" t="str">
            <v>CPU COT</v>
          </cell>
          <cell r="B1275" t="str">
            <v>COT</v>
          </cell>
          <cell r="C1275" t="str">
            <v>CONECTOR DE PERFIL F47</v>
          </cell>
          <cell r="D1275" t="str">
            <v>UND</v>
          </cell>
          <cell r="E1275">
            <v>1.5</v>
          </cell>
        </row>
        <row r="1276">
          <cell r="A1276" t="str">
            <v>CPU COT</v>
          </cell>
          <cell r="B1276" t="str">
            <v>COT</v>
          </cell>
          <cell r="C1276" t="str">
            <v>PARAFUSO PARA DRYWALL, EM ACO FOSFATIZAD O, CABECA TROMBETA E PONTA AGULHA (TA), COMPRIMENTO 25MM</v>
          </cell>
          <cell r="D1276" t="str">
            <v>UND</v>
          </cell>
          <cell r="E1276">
            <v>10</v>
          </cell>
        </row>
        <row r="1277">
          <cell r="A1277" t="str">
            <v>CPU COT</v>
          </cell>
          <cell r="B1277" t="str">
            <v>COT</v>
          </cell>
          <cell r="C1277" t="str">
            <v>PINO CLIP DE 1/4"X22MM</v>
          </cell>
          <cell r="D1277" t="str">
            <v>UND</v>
          </cell>
          <cell r="E1277">
            <v>1.5</v>
          </cell>
        </row>
        <row r="1278">
          <cell r="A1278" t="str">
            <v>CPU COT</v>
          </cell>
          <cell r="B1278" t="str">
            <v>COT</v>
          </cell>
          <cell r="C1278" t="str">
            <v>PINO DE ACO COM ARRUELA CONICA, DIAMETRO ARRUELA=23MM E COMPRIMENTO DE HASTE=27M M (ACAO INDIRETA)</v>
          </cell>
          <cell r="D1278" t="str">
            <v>UND</v>
          </cell>
          <cell r="E1278">
            <v>1.66</v>
          </cell>
        </row>
        <row r="1279">
          <cell r="A1279" t="str">
            <v>CPU COT</v>
          </cell>
          <cell r="B1279" t="str">
            <v>COT</v>
          </cell>
          <cell r="C1279" t="str">
            <v>REGULADOR DE PERFIL CLICADO</v>
          </cell>
          <cell r="D1279" t="str">
            <v>UND</v>
          </cell>
          <cell r="E1279">
            <v>1.5</v>
          </cell>
        </row>
        <row r="1280">
          <cell r="A1280" t="str">
            <v>CPU REFERÊNCIA:</v>
          </cell>
          <cell r="B1280" t="str">
            <v>REFERÊNCIA:</v>
          </cell>
          <cell r="C1280" t="str">
            <v>13.196.0095-0 - EMOP</v>
          </cell>
        </row>
        <row r="1281">
          <cell r="A1281" t="str">
            <v>CPU 122</v>
          </cell>
          <cell r="B1281">
            <v>122</v>
          </cell>
          <cell r="C1281" t="str">
            <v>GANCHO CABIDE EM INOX PARA TOALHA</v>
          </cell>
          <cell r="F1281" t="str">
            <v>OK</v>
          </cell>
        </row>
        <row r="1282">
          <cell r="A1282" t="str">
            <v>CPU MÃO DE OBRA</v>
          </cell>
          <cell r="B1282" t="str">
            <v>MÃO DE OBRA</v>
          </cell>
        </row>
        <row r="1283">
          <cell r="A1283" t="str">
            <v>CPU 101445</v>
          </cell>
          <cell r="B1283">
            <v>101445</v>
          </cell>
          <cell r="C1283" t="str">
            <v>PEDREIRO COM ENCARGOS</v>
          </cell>
          <cell r="D1283" t="str">
            <v>H</v>
          </cell>
          <cell r="E1283">
            <v>0.5</v>
          </cell>
        </row>
        <row r="1284">
          <cell r="A1284" t="str">
            <v>CPU 88316</v>
          </cell>
          <cell r="B1284">
            <v>88316</v>
          </cell>
          <cell r="C1284" t="str">
            <v>SERVENTE COM ENCARGOS COMPLEMENTARES</v>
          </cell>
          <cell r="D1284" t="str">
            <v>H</v>
          </cell>
          <cell r="E1284">
            <v>0.5</v>
          </cell>
        </row>
        <row r="1285">
          <cell r="A1285" t="str">
            <v>CPU</v>
          </cell>
        </row>
        <row r="1286">
          <cell r="A1286" t="str">
            <v>CPU INSUMOS</v>
          </cell>
          <cell r="B1286" t="str">
            <v>INSUMOS</v>
          </cell>
        </row>
        <row r="1287">
          <cell r="A1287" t="str">
            <v>CPU COMP</v>
          </cell>
          <cell r="B1287" t="str">
            <v>COMP</v>
          </cell>
          <cell r="C1287" t="str">
            <v>ARGAMASSA DE CIMENTO E AREIA 1:3</v>
          </cell>
          <cell r="D1287" t="str">
            <v>M3</v>
          </cell>
          <cell r="E1287">
            <v>1E-3</v>
          </cell>
        </row>
        <row r="1288">
          <cell r="A1288" t="str">
            <v>CPU COT</v>
          </cell>
          <cell r="B1288" t="str">
            <v>COT</v>
          </cell>
          <cell r="C1288" t="str">
            <v>GANCHO CABIDE EM INOX PARA TOALHA</v>
          </cell>
          <cell r="D1288" t="str">
            <v>UND</v>
          </cell>
          <cell r="E1288">
            <v>1</v>
          </cell>
        </row>
        <row r="1289">
          <cell r="A1289" t="str">
            <v>CPU</v>
          </cell>
        </row>
        <row r="1290">
          <cell r="A1290" t="str">
            <v>CPU REFERÊNCIA:</v>
          </cell>
          <cell r="B1290" t="str">
            <v>REFERÊNCIA:</v>
          </cell>
          <cell r="C1290" t="str">
            <v>10.48.13 - SUDECAP</v>
          </cell>
        </row>
        <row r="1291">
          <cell r="A1291" t="str">
            <v>CPU 123</v>
          </cell>
          <cell r="B1291">
            <v>123</v>
          </cell>
          <cell r="C1291" t="str">
            <v>GANCHO SUSP OLHAL</v>
          </cell>
          <cell r="F1291" t="str">
            <v>OK</v>
          </cell>
        </row>
        <row r="1292">
          <cell r="A1292" t="str">
            <v>CPU MÃO DE OBRA</v>
          </cell>
          <cell r="B1292" t="str">
            <v>MÃO DE OBRA</v>
          </cell>
        </row>
        <row r="1293">
          <cell r="A1293" t="str">
            <v>CPU</v>
          </cell>
        </row>
        <row r="1294">
          <cell r="A1294" t="str">
            <v>CPU</v>
          </cell>
          <cell r="F1294" t="str">
            <v>SÓ INSUMO</v>
          </cell>
        </row>
        <row r="1295">
          <cell r="A1295" t="str">
            <v>CPU</v>
          </cell>
        </row>
        <row r="1296">
          <cell r="A1296" t="str">
            <v>CPU INSUMOS</v>
          </cell>
          <cell r="B1296" t="str">
            <v>INSUMOS</v>
          </cell>
        </row>
        <row r="1297">
          <cell r="A1297" t="str">
            <v>CPU COT</v>
          </cell>
          <cell r="B1297" t="str">
            <v>COT</v>
          </cell>
          <cell r="C1297" t="str">
            <v>GANCHO SUSP OLHAL</v>
          </cell>
          <cell r="D1297" t="str">
            <v>UND</v>
          </cell>
          <cell r="E1297">
            <v>1</v>
          </cell>
        </row>
        <row r="1298">
          <cell r="A1298" t="str">
            <v>CPU</v>
          </cell>
        </row>
        <row r="1299">
          <cell r="A1299" t="str">
            <v>CPU</v>
          </cell>
        </row>
        <row r="1300">
          <cell r="A1300" t="str">
            <v>CPU REFERÊNCIA:</v>
          </cell>
          <cell r="B1300" t="str">
            <v>REFERÊNCIA:</v>
          </cell>
          <cell r="C1300" t="str">
            <v>4135 - ORSE</v>
          </cell>
        </row>
        <row r="1301">
          <cell r="A1301" t="str">
            <v>CPU 124</v>
          </cell>
          <cell r="B1301">
            <v>124</v>
          </cell>
          <cell r="C1301" t="str">
            <v>GOTEJADOR - 50X25MM CHAPA 18</v>
          </cell>
          <cell r="F1301" t="str">
            <v>NÃO</v>
          </cell>
        </row>
        <row r="1302">
          <cell r="A1302" t="str">
            <v>CPU MÃO DE OBRA</v>
          </cell>
          <cell r="B1302" t="str">
            <v>MÃO DE OBRA</v>
          </cell>
        </row>
        <row r="1303">
          <cell r="A1303" t="str">
            <v>CPU 88264</v>
          </cell>
          <cell r="B1303">
            <v>88264</v>
          </cell>
          <cell r="C1303" t="str">
            <v>ELETRICISTA COM ENCARGOS COMPLEMENTARES</v>
          </cell>
          <cell r="D1303" t="str">
            <v>H</v>
          </cell>
          <cell r="E1303">
            <v>0.2</v>
          </cell>
        </row>
        <row r="1304">
          <cell r="A1304" t="str">
            <v>CPU 88316</v>
          </cell>
          <cell r="B1304">
            <v>88316</v>
          </cell>
          <cell r="C1304" t="str">
            <v>SERVENTE COM ENCARGOS COMPLEMENTARES</v>
          </cell>
          <cell r="D1304" t="str">
            <v>H</v>
          </cell>
          <cell r="E1304">
            <v>0.2</v>
          </cell>
        </row>
        <row r="1305">
          <cell r="A1305" t="str">
            <v>CPU</v>
          </cell>
        </row>
        <row r="1306">
          <cell r="A1306" t="str">
            <v>CPU INSUMOS</v>
          </cell>
          <cell r="B1306" t="str">
            <v>INSUMOS</v>
          </cell>
        </row>
        <row r="1307">
          <cell r="A1307" t="str">
            <v>CPU COT</v>
          </cell>
          <cell r="B1307" t="str">
            <v>COT</v>
          </cell>
          <cell r="C1307" t="str">
            <v>GOTEJADOR - 50X25MM CHAPA 18</v>
          </cell>
          <cell r="D1307" t="str">
            <v>UND</v>
          </cell>
          <cell r="E1307">
            <v>1</v>
          </cell>
        </row>
        <row r="1308">
          <cell r="A1308" t="str">
            <v>CPU</v>
          </cell>
        </row>
        <row r="1309">
          <cell r="A1309" t="str">
            <v>CPU</v>
          </cell>
        </row>
        <row r="1310">
          <cell r="A1310" t="str">
            <v>CPU REFERÊNCIA:</v>
          </cell>
          <cell r="B1310" t="str">
            <v>REFERÊNCIA:</v>
          </cell>
          <cell r="C1310" t="str">
            <v>15.018.0998-0 - EMOP</v>
          </cell>
        </row>
        <row r="1311">
          <cell r="A1311" t="str">
            <v>CPU 125</v>
          </cell>
          <cell r="B1311">
            <v>125</v>
          </cell>
          <cell r="C1311" t="str">
            <v>GOTEJADOR 150X50MM</v>
          </cell>
          <cell r="F1311" t="str">
            <v>NÃO</v>
          </cell>
        </row>
        <row r="1312">
          <cell r="A1312" t="str">
            <v>CPU MÃO DE OBRA</v>
          </cell>
          <cell r="B1312" t="str">
            <v>MÃO DE OBRA</v>
          </cell>
        </row>
        <row r="1313">
          <cell r="A1313" t="str">
            <v>CPU 88264</v>
          </cell>
          <cell r="B1313">
            <v>88264</v>
          </cell>
          <cell r="C1313" t="str">
            <v>ELETRICISTA COM ENCARGOS COMPLEMENTARES</v>
          </cell>
          <cell r="D1313" t="str">
            <v>H</v>
          </cell>
          <cell r="E1313">
            <v>0.2</v>
          </cell>
        </row>
        <row r="1314">
          <cell r="A1314" t="str">
            <v>CPU 88316</v>
          </cell>
          <cell r="B1314">
            <v>88316</v>
          </cell>
          <cell r="C1314" t="str">
            <v>SERVENTE COM ENCARGOS COMPLEMENTARES</v>
          </cell>
          <cell r="D1314" t="str">
            <v>H</v>
          </cell>
          <cell r="E1314">
            <v>0.2</v>
          </cell>
        </row>
        <row r="1315">
          <cell r="A1315" t="str">
            <v>CPU</v>
          </cell>
        </row>
        <row r="1316">
          <cell r="A1316" t="str">
            <v>CPU INSUMOS</v>
          </cell>
          <cell r="B1316" t="str">
            <v>INSUMOS</v>
          </cell>
        </row>
        <row r="1317">
          <cell r="A1317" t="str">
            <v>CPU COT</v>
          </cell>
          <cell r="B1317" t="str">
            <v>COT</v>
          </cell>
          <cell r="C1317" t="str">
            <v>GOTEJADOR 150X50MM</v>
          </cell>
          <cell r="D1317" t="str">
            <v>UND</v>
          </cell>
          <cell r="E1317">
            <v>1</v>
          </cell>
        </row>
        <row r="1318">
          <cell r="A1318" t="str">
            <v>CPU</v>
          </cell>
        </row>
        <row r="1319">
          <cell r="A1319" t="str">
            <v>CPU</v>
          </cell>
        </row>
        <row r="1320">
          <cell r="A1320" t="str">
            <v>CPU REFERÊNCIA:</v>
          </cell>
          <cell r="B1320" t="str">
            <v>REFERÊNCIA:</v>
          </cell>
          <cell r="C1320" t="str">
            <v>15.018.1001-0 - EMOP</v>
          </cell>
        </row>
        <row r="1321">
          <cell r="A1321" t="str">
            <v>CPU 126</v>
          </cell>
          <cell r="B1321">
            <v>126</v>
          </cell>
          <cell r="C1321" t="str">
            <v>GRAMPO LINHA VIVA BR</v>
          </cell>
          <cell r="F1321" t="str">
            <v>OK</v>
          </cell>
        </row>
        <row r="1322">
          <cell r="A1322" t="str">
            <v>CPU MÃO DE OBRA</v>
          </cell>
          <cell r="B1322" t="str">
            <v>MÃO DE OBRA</v>
          </cell>
        </row>
        <row r="1323">
          <cell r="A1323" t="str">
            <v>CPU</v>
          </cell>
        </row>
        <row r="1324">
          <cell r="A1324" t="str">
            <v>CPU</v>
          </cell>
          <cell r="F1324" t="str">
            <v>SÓ INSUMO</v>
          </cell>
        </row>
        <row r="1325">
          <cell r="A1325" t="str">
            <v>CPU</v>
          </cell>
        </row>
        <row r="1326">
          <cell r="A1326" t="str">
            <v>CPU INSUMOS</v>
          </cell>
          <cell r="B1326" t="str">
            <v>INSUMOS</v>
          </cell>
        </row>
        <row r="1327">
          <cell r="A1327" t="str">
            <v>CPU cot</v>
          </cell>
          <cell r="B1327" t="str">
            <v>cot</v>
          </cell>
          <cell r="C1327" t="str">
            <v>GRAMPO LINHA VIVA BR</v>
          </cell>
          <cell r="D1327" t="str">
            <v>und</v>
          </cell>
          <cell r="E1327">
            <v>1</v>
          </cell>
        </row>
        <row r="1328">
          <cell r="A1328" t="str">
            <v>CPU</v>
          </cell>
        </row>
        <row r="1329">
          <cell r="A1329" t="str">
            <v>CPU</v>
          </cell>
        </row>
        <row r="1330">
          <cell r="A1330" t="str">
            <v>CPU REFERÊNCIA:</v>
          </cell>
          <cell r="B1330" t="str">
            <v>REFERÊNCIA:</v>
          </cell>
          <cell r="C1330" t="str">
            <v>2885 - ORSE</v>
          </cell>
        </row>
        <row r="1331">
          <cell r="A1331" t="str">
            <v>CPU 127</v>
          </cell>
          <cell r="B1331">
            <v>127</v>
          </cell>
          <cell r="C1331" t="str">
            <v>GUIA DE CABOS ABERTO - 1U</v>
          </cell>
          <cell r="F1331" t="str">
            <v>OK</v>
          </cell>
        </row>
        <row r="1332">
          <cell r="A1332" t="str">
            <v>CPU MÃO DE OBRA</v>
          </cell>
          <cell r="B1332" t="str">
            <v>MÃO DE OBRA</v>
          </cell>
        </row>
        <row r="1333">
          <cell r="A1333" t="str">
            <v>CPU 88247</v>
          </cell>
          <cell r="B1333">
            <v>88247</v>
          </cell>
          <cell r="C1333" t="str">
            <v>AUXILIAR DE ELETRICISTA COM ENCARGOS COMPLEMENTARES</v>
          </cell>
          <cell r="D1333" t="str">
            <v>H</v>
          </cell>
          <cell r="E1333">
            <v>1</v>
          </cell>
        </row>
        <row r="1334">
          <cell r="A1334" t="str">
            <v>CPU 88264</v>
          </cell>
          <cell r="B1334">
            <v>88264</v>
          </cell>
          <cell r="C1334" t="str">
            <v>ELETRICISTA COM ENCARGOS COMPLEMENTARES</v>
          </cell>
          <cell r="D1334" t="str">
            <v>H</v>
          </cell>
          <cell r="E1334">
            <v>1</v>
          </cell>
        </row>
        <row r="1335">
          <cell r="A1335" t="str">
            <v>CPU</v>
          </cell>
        </row>
        <row r="1336">
          <cell r="A1336" t="str">
            <v>CPU INSUMOS</v>
          </cell>
          <cell r="B1336" t="str">
            <v>INSUMOS</v>
          </cell>
        </row>
        <row r="1337">
          <cell r="A1337" t="str">
            <v>CPU COT</v>
          </cell>
          <cell r="B1337" t="str">
            <v>COT</v>
          </cell>
          <cell r="C1337" t="str">
            <v>GUIA DE CABOS ABERTO - 1U</v>
          </cell>
          <cell r="D1337" t="str">
            <v>UND</v>
          </cell>
          <cell r="E1337">
            <v>1</v>
          </cell>
        </row>
        <row r="1338">
          <cell r="A1338" t="str">
            <v>CPU</v>
          </cell>
        </row>
        <row r="1339">
          <cell r="A1339" t="str">
            <v>CPU</v>
          </cell>
        </row>
        <row r="1340">
          <cell r="A1340" t="str">
            <v>CPU REFERÊNCIA:</v>
          </cell>
          <cell r="B1340" t="str">
            <v>REFERÊNCIA:</v>
          </cell>
          <cell r="C1340" t="str">
            <v>ED-48377 - SETOP</v>
          </cell>
        </row>
        <row r="1341">
          <cell r="A1341" t="str">
            <v>CPU 128</v>
          </cell>
          <cell r="B1341">
            <v>128</v>
          </cell>
          <cell r="C1341" t="str">
            <v>GUIA DE CABOS ABERTO - 2U</v>
          </cell>
          <cell r="F1341" t="str">
            <v>OK</v>
          </cell>
        </row>
        <row r="1342">
          <cell r="A1342" t="str">
            <v>CPU MÃO DE OBRA</v>
          </cell>
          <cell r="B1342" t="str">
            <v>MÃO DE OBRA</v>
          </cell>
        </row>
        <row r="1343">
          <cell r="A1343" t="str">
            <v>CPU 88247</v>
          </cell>
          <cell r="B1343">
            <v>88247</v>
          </cell>
          <cell r="C1343" t="str">
            <v>AUXILIAR DE ELETRICISTA COM ENCARGOS COMPLEMENTARES</v>
          </cell>
          <cell r="D1343" t="str">
            <v>H</v>
          </cell>
          <cell r="E1343">
            <v>1</v>
          </cell>
        </row>
        <row r="1344">
          <cell r="A1344" t="str">
            <v>CPU 88264</v>
          </cell>
          <cell r="B1344">
            <v>88264</v>
          </cell>
          <cell r="C1344" t="str">
            <v>ELETRICISTA COM ENCARGOS COMPLEMENTARES</v>
          </cell>
          <cell r="D1344" t="str">
            <v>H</v>
          </cell>
          <cell r="E1344">
            <v>1</v>
          </cell>
        </row>
        <row r="1345">
          <cell r="A1345" t="str">
            <v>CPU</v>
          </cell>
        </row>
        <row r="1346">
          <cell r="A1346" t="str">
            <v>CPU INSUMOS</v>
          </cell>
          <cell r="B1346" t="str">
            <v>INSUMOS</v>
          </cell>
        </row>
        <row r="1347">
          <cell r="A1347" t="str">
            <v>CPU COT</v>
          </cell>
          <cell r="B1347" t="str">
            <v>COT</v>
          </cell>
          <cell r="C1347" t="str">
            <v>GUIA DE CABOS ABERTO - 2U</v>
          </cell>
          <cell r="D1347" t="str">
            <v>UND</v>
          </cell>
          <cell r="E1347">
            <v>1</v>
          </cell>
        </row>
        <row r="1348">
          <cell r="A1348" t="str">
            <v>CPU</v>
          </cell>
        </row>
        <row r="1349">
          <cell r="A1349" t="str">
            <v>CPU</v>
          </cell>
        </row>
        <row r="1350">
          <cell r="A1350" t="str">
            <v>CPU REFERÊNCIA:</v>
          </cell>
          <cell r="B1350" t="str">
            <v>REFERÊNCIA:</v>
          </cell>
          <cell r="C1350" t="str">
            <v>ED-48377 - SETOP</v>
          </cell>
        </row>
        <row r="1351">
          <cell r="A1351" t="str">
            <v>CPU 129</v>
          </cell>
          <cell r="B1351">
            <v>129</v>
          </cell>
          <cell r="C1351" t="str">
            <v>HD 10 TB - PARA CFTV</v>
          </cell>
          <cell r="F1351" t="str">
            <v>OK</v>
          </cell>
        </row>
        <row r="1352">
          <cell r="A1352" t="str">
            <v>CPU MÃO DE OBRA</v>
          </cell>
          <cell r="B1352" t="str">
            <v>MÃO DE OBRA</v>
          </cell>
        </row>
        <row r="1353">
          <cell r="A1353" t="str">
            <v>CPU 242</v>
          </cell>
          <cell r="B1353">
            <v>242</v>
          </cell>
          <cell r="C1353" t="str">
            <v>AJUDANTE ESPECIALIZADO</v>
          </cell>
          <cell r="D1353" t="str">
            <v>H</v>
          </cell>
          <cell r="E1353">
            <v>0.1</v>
          </cell>
        </row>
        <row r="1354">
          <cell r="A1354" t="str">
            <v>CPU</v>
          </cell>
        </row>
        <row r="1355">
          <cell r="A1355" t="str">
            <v>CPU</v>
          </cell>
        </row>
        <row r="1356">
          <cell r="A1356" t="str">
            <v>CPU INSUMOS</v>
          </cell>
          <cell r="B1356" t="str">
            <v>INSUMOS</v>
          </cell>
        </row>
        <row r="1357">
          <cell r="A1357" t="str">
            <v>CPU COT</v>
          </cell>
          <cell r="B1357" t="str">
            <v>COT</v>
          </cell>
          <cell r="C1357" t="str">
            <v>HD 10 TB - PARA CFTV</v>
          </cell>
          <cell r="D1357" t="str">
            <v>UND</v>
          </cell>
          <cell r="E1357">
            <v>1</v>
          </cell>
        </row>
        <row r="1358">
          <cell r="A1358" t="str">
            <v>CPU</v>
          </cell>
        </row>
        <row r="1359">
          <cell r="A1359" t="str">
            <v>CPU</v>
          </cell>
        </row>
        <row r="1360">
          <cell r="A1360" t="str">
            <v>CPU REFERÊNCIA:</v>
          </cell>
          <cell r="B1360" t="str">
            <v>REFERÊNCIA:</v>
          </cell>
          <cell r="C1360" t="str">
            <v>66.08.340 - CPOS</v>
          </cell>
        </row>
        <row r="1361">
          <cell r="A1361" t="str">
            <v>CPU 130</v>
          </cell>
          <cell r="B1361">
            <v>130</v>
          </cell>
          <cell r="C1361" t="str">
            <v>HIDRANTE SIMPLES COM REGISTRO GLOB ANGULAR DE 45º, UM ADAPTADOR ROSCA-STORZ COM TAMPÃO E CORRENTE</v>
          </cell>
          <cell r="F1361" t="str">
            <v>OK</v>
          </cell>
        </row>
        <row r="1362">
          <cell r="A1362" t="str">
            <v>CPU MÃO DE OBRA</v>
          </cell>
          <cell r="B1362" t="str">
            <v>MÃO DE OBRA</v>
          </cell>
        </row>
        <row r="1363">
          <cell r="A1363" t="str">
            <v>CPU 88267</v>
          </cell>
          <cell r="B1363">
            <v>88267</v>
          </cell>
          <cell r="C1363" t="str">
            <v>ENCANADOR OU BOMBEIRO HIDRÁULICO COM ENCARGOS COMPLEMENTARES</v>
          </cell>
          <cell r="D1363" t="str">
            <v>H</v>
          </cell>
          <cell r="E1363">
            <v>1</v>
          </cell>
        </row>
        <row r="1364">
          <cell r="A1364" t="str">
            <v>CPU 88316</v>
          </cell>
          <cell r="B1364">
            <v>88316</v>
          </cell>
          <cell r="C1364" t="str">
            <v>SERVENTE COM ENCARGOS COMPLEMENTARES</v>
          </cell>
          <cell r="D1364" t="str">
            <v>H</v>
          </cell>
          <cell r="E1364">
            <v>1</v>
          </cell>
        </row>
        <row r="1365">
          <cell r="A1365" t="str">
            <v>CPU</v>
          </cell>
        </row>
        <row r="1366">
          <cell r="A1366" t="str">
            <v>CPU INSUMOS</v>
          </cell>
          <cell r="B1366" t="str">
            <v>INSUMOS</v>
          </cell>
        </row>
        <row r="1367">
          <cell r="A1367" t="str">
            <v>CPU COT</v>
          </cell>
          <cell r="B1367" t="str">
            <v>COT</v>
          </cell>
          <cell r="C1367" t="str">
            <v>HIDRANTE SIMPLES COM REGISTRO GLOB ANGULAR DE 45º, UM ADAPTADOR ROSCA-STORZ COM TAMPÃO E CORRENTE</v>
          </cell>
          <cell r="D1367" t="str">
            <v>UND</v>
          </cell>
          <cell r="E1367">
            <v>1</v>
          </cell>
        </row>
        <row r="1368">
          <cell r="A1368" t="str">
            <v>CPU</v>
          </cell>
        </row>
        <row r="1369">
          <cell r="A1369" t="str">
            <v>CPU</v>
          </cell>
        </row>
        <row r="1370">
          <cell r="A1370" t="str">
            <v>CPU REFERÊNCIA:</v>
          </cell>
          <cell r="B1370" t="str">
            <v>REFERÊNCIA:</v>
          </cell>
          <cell r="C1370" t="str">
            <v>1523 - ORSE</v>
          </cell>
        </row>
        <row r="1371">
          <cell r="A1371" t="str">
            <v>CPU 131</v>
          </cell>
          <cell r="B1371">
            <v>131</v>
          </cell>
          <cell r="C1371" t="str">
            <v>ILUMINAÇÃO INTERNA</v>
          </cell>
          <cell r="F1371" t="str">
            <v>OK</v>
          </cell>
        </row>
        <row r="1372">
          <cell r="A1372" t="str">
            <v>CPU MÃO DE OBRA</v>
          </cell>
          <cell r="B1372" t="str">
            <v>MÃO DE OBRA</v>
          </cell>
        </row>
        <row r="1373">
          <cell r="A1373" t="str">
            <v>CPU 88247</v>
          </cell>
          <cell r="B1373">
            <v>88247</v>
          </cell>
          <cell r="C1373" t="str">
            <v>AUXILIAR DE ELETRICISTA COM ENCARGOS COMPLEMENTARES</v>
          </cell>
          <cell r="D1373" t="str">
            <v>H</v>
          </cell>
          <cell r="E1373">
            <v>0.8</v>
          </cell>
        </row>
        <row r="1374">
          <cell r="A1374" t="str">
            <v>CPU 88264</v>
          </cell>
          <cell r="B1374">
            <v>88264</v>
          </cell>
          <cell r="C1374" t="str">
            <v>ELETRICISTA COM ENCARGOS COMPLEMENTARES</v>
          </cell>
          <cell r="D1374" t="str">
            <v>H</v>
          </cell>
          <cell r="E1374">
            <v>0.8</v>
          </cell>
        </row>
        <row r="1375">
          <cell r="A1375" t="str">
            <v>CPU</v>
          </cell>
        </row>
        <row r="1376">
          <cell r="A1376" t="str">
            <v>CPU INSUMOS</v>
          </cell>
          <cell r="B1376" t="str">
            <v>INSUMOS</v>
          </cell>
        </row>
        <row r="1377">
          <cell r="A1377" t="str">
            <v>CPU COT</v>
          </cell>
          <cell r="B1377" t="str">
            <v>COT</v>
          </cell>
          <cell r="C1377" t="str">
            <v>IL-59 ARANDELA BLINDADA ALUMINIO (TARTARUGA) P/LAMPADA LED BULBO ROSCA E27</v>
          </cell>
          <cell r="D1377" t="str">
            <v>UND</v>
          </cell>
          <cell r="E1377">
            <v>1</v>
          </cell>
        </row>
        <row r="1378">
          <cell r="A1378" t="str">
            <v>CPU COT</v>
          </cell>
          <cell r="B1378" t="str">
            <v>COT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Riscos"/>
      <sheetName val="Resumo do Orçamento"/>
      <sheetName val="Formulário"/>
      <sheetName val="Orçamento de Risco "/>
      <sheetName val="Monte Carlo"/>
      <sheetName val="resumo_aut1"/>
      <sheetName val="INSUMOS"/>
    </sheetNames>
    <sheetDataSet>
      <sheetData sheetId="0"/>
      <sheetData sheetId="1">
        <row r="5">
          <cell r="C5" t="str">
            <v>PROJETOS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_Linha 69kV"/>
      <sheetName val="COMPOSIÇÃO"/>
      <sheetName val="Crono_Linha 69kV"/>
      <sheetName val="LEIS SOCIAIS"/>
      <sheetName val="BDI"/>
      <sheetName val="utr 2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ADOS"/>
      <sheetName val="ORÇAMENTO"/>
      <sheetName val="QCI"/>
      <sheetName val="Cronograma"/>
      <sheetName val="ORÇAM. - ÁGUA"/>
      <sheetName val="ORÇAM. - ESGOTO"/>
      <sheetName val="QUADRO QUANT. ESGOTO"/>
      <sheetName val="ORÇAM. - ELÉTRICO"/>
      <sheetName val="BASE"/>
      <sheetName val="Sub-base"/>
      <sheetName val="Regula"/>
      <sheetName val="CANT_OBRAS"/>
      <sheetName val="AQU TERRENO-"/>
      <sheetName val="ESTA ELEVATÓRIA_"/>
      <sheetName val="EMISSÁRIO_"/>
      <sheetName val="ligação predial"/>
      <sheetName val="REDE COLETO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sNoPrint"/>
      <sheetName val="ComparaQuantNoPrint"/>
      <sheetName val="TodasTraf-2011-NoPrint"/>
      <sheetName val="TrafPb008"/>
      <sheetName val="PavPb008"/>
      <sheetName val="TrafPb027"/>
      <sheetName val="PavPb027"/>
      <sheetName val="TrafPb033(1)"/>
      <sheetName val="PavPb033(1)"/>
      <sheetName val="TrafPb033(2)"/>
      <sheetName val="PavPb033(2)"/>
      <sheetName val="TrafPb059(1)"/>
      <sheetName val="PavPb059(1)"/>
      <sheetName val="TrafPb059(2)"/>
      <sheetName val="PavPb059(2)"/>
      <sheetName val="TrafPb061"/>
      <sheetName val="PavPb061"/>
      <sheetName val="TrafPb065"/>
      <sheetName val="PavPb065"/>
      <sheetName val="TodasTraf-2000-NoPrint"/>
      <sheetName val="Br101-NoPrint"/>
      <sheetName val="TrafAnual-NoPrint"/>
      <sheetName val="TrafContExpan-NoPrint"/>
      <sheetName val="PavComplNoPrint"/>
      <sheetName val="Principal"/>
      <sheetName val="Pb008n-RelFinal01-Dimens&amp;Compar"/>
      <sheetName val="INSUMOS"/>
      <sheetName val="COMPOSIÇÃO"/>
      <sheetName val="Sheet1"/>
      <sheetName val="SIIG 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AQU TERRENO_"/>
      <sheetName val="450"/>
      <sheetName val="cotações"/>
      <sheetName val="Administração de obra"/>
      <sheetName val="MAR01"/>
      <sheetName val="refor out_ 2001 _ bdi_20_ ajust"/>
      <sheetName val="UTR 2"/>
      <sheetName val="C.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-5ª med."/>
      <sheetName val="RESUMO-DVOP"/>
      <sheetName val="REAJUSTE "/>
      <sheetName val="Rem. e limpeza "/>
      <sheetName val="Cubação - Teórica"/>
      <sheetName val="DMT - TEORICO "/>
      <sheetName val="Cub.-Med 5"/>
      <sheetName val="DMT-5ª MEDIÇÃO "/>
      <sheetName val="Cronograma Físico-Financeiro"/>
      <sheetName val="Cronograma Semanal"/>
      <sheetName val="Bueiros"/>
      <sheetName val="Regula"/>
      <sheetName val="Sub-base"/>
      <sheetName val="Base"/>
      <sheetName val="Imprimação"/>
      <sheetName val="CBUQ"/>
      <sheetName val="Colchão drenante"/>
      <sheetName val="TSS"/>
      <sheetName val="TSD-FOG"/>
      <sheetName val="AGREGADOS"/>
      <sheetName val="Pintura"/>
      <sheetName val="Grama"/>
      <sheetName val="Transporte de brita"/>
      <sheetName val="DRENO"/>
      <sheetName val="DRENO SALDO"/>
      <sheetName val="AÇO CA-50"/>
      <sheetName val="AÇO CA-50 (2)"/>
      <sheetName val="DMT - TEORICO 2"/>
      <sheetName val="Acumulado"/>
      <sheetName val="Insumos"/>
      <sheetName val="ENTRADA DE 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ADOS"/>
      <sheetName val="ORÇAMENTO"/>
      <sheetName val="QCI"/>
      <sheetName val="Cronograma"/>
      <sheetName val="ORÇAM. - ÁGUA"/>
      <sheetName val="ORÇAM. - ESGOTO"/>
      <sheetName val="QUADRO QUANT. ESGOTO"/>
      <sheetName val="ORÇAM. - ELÉTRICO"/>
      <sheetName val="INSUMOS"/>
      <sheetName val="utequ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LURB_DES"/>
      <sheetName val="MAI_2020"/>
      <sheetName val="REV"/>
      <sheetName val="CAPA"/>
      <sheetName val="Indice 2"/>
      <sheetName val="BASE"/>
      <sheetName val="Carta de Encaminhamento"/>
      <sheetName val="PLANILHA RESUMO"/>
      <sheetName val="ORÇAMENTO COM BDI"/>
      <sheetName val="ORÇAMENTO SEM BDI"/>
      <sheetName val="CURVA ABC"/>
      <sheetName val="CRONOGRAMA FÍSICO FINANCEIRO"/>
      <sheetName val="COMPOSIÇÃO DE BDI PARA SERVIÇOS"/>
      <sheetName val="BDI EQUIPAMENTO"/>
      <sheetName val="MEMORIA DE CALCULO"/>
      <sheetName val="COMPOSIÇÕES DE PREÇOS"/>
      <sheetName val="QUADRO_DE_COTACOES"/>
      <sheetName val="QUADRO DE COTAÇÕES"/>
      <sheetName val="COMP TX DE ENCARGOS HORISTA"/>
      <sheetName val="COMP TX DE ENCARGOS MENSALISTA"/>
      <sheetName val="Sheet1"/>
      <sheetName val="ENTRADA DE DADOS"/>
      <sheetName val="Eventograma_e_Quantitativos"/>
      <sheetName val="DADOS"/>
      <sheetName val="Cronograma"/>
      <sheetName val="CronoPrev"/>
      <sheetName val="Detalhamento"/>
      <sheetName val="PLE"/>
      <sheetName val="Resumo_de_Acompanhamento"/>
      <sheetName val="ORC_LIC_EM_ABILIO_GOMES_DES_R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o Orçamento"/>
      <sheetName val="Orçamento - VANTAJOSA"/>
      <sheetName val="Orçamento - NÃO VANTAJOSA"/>
      <sheetName val="Memória"/>
      <sheetName val="Orçamento - TERRAPLANAGEM"/>
      <sheetName val="Orçamento - TERRAP. NÃO VANT"/>
      <sheetName val="CPUs"/>
      <sheetName val="MOB - LT 1"/>
      <sheetName val="DESMOB - LT 1"/>
      <sheetName val="COMP VIGIA NOTURNO"/>
      <sheetName val="COTAÇÕES"/>
      <sheetName val="BDI"/>
      <sheetName val="Planilha - LT 1"/>
      <sheetName val="Composição 001"/>
      <sheetName val="Composição 002"/>
      <sheetName val="Composição 003"/>
      <sheetName val="Composição 004"/>
      <sheetName val="Composição 005"/>
      <sheetName val="Composição 006"/>
      <sheetName val="Composição 007"/>
      <sheetName val="Composição 008"/>
      <sheetName val="CRONOGRAMA LOTE 01"/>
      <sheetName val="Evento. proj LT 1"/>
      <sheetName val="Cronog. Finc LT 1 "/>
      <sheetName val="b - captação_elevação 1a etapa "/>
      <sheetName val="refor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7">
          <cell r="D17" t="str">
            <v>PROJETOS EXECUTIVOS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U"/>
      <sheetName val="lote 02 fofo"/>
      <sheetName val="INSUMOS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ADOS"/>
      <sheetName val="Orçamento"/>
      <sheetName val="Cronograma"/>
      <sheetName val="Composição BDI"/>
      <sheetName val="Composição &quot;As Built&quot;"/>
      <sheetName val="Lig. Dom. de ÁGUA"/>
      <sheetName val="INSUMOS"/>
      <sheetName val="pro-08"/>
      <sheetName val="Sheet1"/>
    </sheetNames>
    <sheetDataSet>
      <sheetData sheetId="0"/>
      <sheetData sheetId="1">
        <row r="2">
          <cell r="AS2">
            <v>0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  <sheetName val="INSUMOS"/>
      <sheetName val="270garanhuns"/>
      <sheetName val="Plan"/>
      <sheetName val="COMPOS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PU"/>
      <sheetName val="PEM"/>
      <sheetName val="CEM"/>
      <sheetName val="Grupos"/>
      <sheetName val="Serviços"/>
      <sheetName val="Insumos"/>
      <sheetName val="Composições"/>
      <sheetName val="Cpus"/>
      <sheetName val="Planilha"/>
      <sheetName val="Instalações"/>
      <sheetName val="E S "/>
      <sheetName val="RlEqMec"/>
      <sheetName val="QTR"/>
      <sheetName val="QTS"/>
      <sheetName val="CpuApr"/>
      <sheetName val="RelCpu"/>
      <sheetName val="Permanência"/>
      <sheetName val="Crono MO"/>
      <sheetName val="Crono EQ"/>
      <sheetName val="GerRel"/>
      <sheetName val="C.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"/>
      <sheetName val="resumo"/>
      <sheetName val="central"/>
      <sheetName val="b1"/>
      <sheetName val="b2"/>
      <sheetName val="b3"/>
      <sheetName val="b4"/>
      <sheetName val="frentes"/>
      <sheetName val="aloj"/>
      <sheetName val="lote B"/>
      <sheetName val="G-REV_C"/>
      <sheetName val="BDI"/>
      <sheetName val="Encargos Sociais"/>
      <sheetName val="Plan1 (2)"/>
      <sheetName val="Indireto - 40 meses"/>
      <sheetName val="Plan1"/>
      <sheetName val="Sal"/>
      <sheetName val="Gráfico MO"/>
      <sheetName val="Bens Duráveis"/>
      <sheetName val="2"/>
      <sheetName val="3"/>
      <sheetName val="5"/>
      <sheetName val="6"/>
      <sheetName val="INSUMOS"/>
      <sheetName val="reforma"/>
      <sheetName val="ENTRADA DE 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  <sheetName val="PLANILHA FONTE"/>
      <sheetName val="composição"/>
      <sheetName val="Base"/>
      <sheetName val="Sub-base"/>
      <sheetName val="Reg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IIG 30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 BASE CABEDELO"/>
      <sheetName val="INSUMOS"/>
      <sheetName val="COMPOSIÇÃO"/>
      <sheetName val="PLANILHA  MISULA"/>
      <sheetName val="CRONOGRAMA"/>
      <sheetName val="planilha encargos"/>
      <sheetName val="relatório-1ª me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.orcafascio.com/orc/orcamentos/67ac9e51ac016a5415a11def/composicoes/678544d442cbab0a7b5dd821" TargetMode="External"/><Relationship Id="rId18" Type="http://schemas.openxmlformats.org/officeDocument/2006/relationships/hyperlink" Target="https://app.orcafascio.com/orc/orcamentos/67ac9e51ac016a5415a11def/composicoes/67855ca042cbab0a7b5df1ef" TargetMode="External"/><Relationship Id="rId26" Type="http://schemas.openxmlformats.org/officeDocument/2006/relationships/hyperlink" Target="https://app.orcafascio.com/orc/orcamentos/67a5f9b6a989cce962bd0561/composicoes/6716ad13d023aa061922ae29" TargetMode="External"/><Relationship Id="rId39" Type="http://schemas.openxmlformats.org/officeDocument/2006/relationships/hyperlink" Target="https://app.orcafascio.com/v2023/orc/orcamentos/67b8a42b745f27319597cf22/compositions/ac44e7cf-05eb-434f-b835-df139e17ac84?id_focus=428b82b7-df4d-4ce2-8f53-fcf1e4ed86a3" TargetMode="External"/><Relationship Id="rId21" Type="http://schemas.openxmlformats.org/officeDocument/2006/relationships/hyperlink" Target="https://app.orcafascio.com/orc/orcamentos/67ac9e51ac016a5415a11def/composicoes/67855ca042cbab0a7b5df1ef" TargetMode="External"/><Relationship Id="rId34" Type="http://schemas.openxmlformats.org/officeDocument/2006/relationships/hyperlink" Target="https://app.orcafascio.com/v2023/orc/orcamentos/67b8a42b745f27319597cf22/compositions/bb1ad19f-ff50-490c-ab73-3e51f5d377e2?id_focus=478bb968-f4a1-424f-bfe5-c778560a4434" TargetMode="External"/><Relationship Id="rId42" Type="http://schemas.openxmlformats.org/officeDocument/2006/relationships/hyperlink" Target="https://app.orcafascio.com/v2023/orc/orcamentos/67b8a42b745f27319597cf22/compositions/794143f1-5cda-4724-b4e3-6b19b8dfd829?id_focus=a2e222ba-5d3b-4917-abd8-1d51e5215089" TargetMode="External"/><Relationship Id="rId47" Type="http://schemas.openxmlformats.org/officeDocument/2006/relationships/hyperlink" Target="https://app.orcafascio.com/v2023/orc/orcamentos/67b8aed4ac016a09dc662ebb/compositions/aa433b70-1472-41ee-9233-bed5f8508ace?id_focus=0e7f700b-1767-467e-a1b0-f72639d5523e" TargetMode="External"/><Relationship Id="rId50" Type="http://schemas.openxmlformats.org/officeDocument/2006/relationships/hyperlink" Target="https://app.orcafascio.com/v2023/orc/orcamentos/67b8aed4ac016a09dc662ebb/compositions/3957039a-8c75-46ae-96de-fa91a0aebe5b?id_focus=e432b2a2-bddb-4633-a75e-f724648e4566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s://app.orcafascio.com/orc/orcamentos/67ac9e51ac016a5415a11def/composicoes/678544e842cbab0a785dd815" TargetMode="External"/><Relationship Id="rId2" Type="http://schemas.openxmlformats.org/officeDocument/2006/relationships/hyperlink" Target="https://app.orcafascio.com/orc/orcamentos/67ac9e51ac016a5415a11def/composicoes/678544d442cbab0a7b5dd821" TargetMode="External"/><Relationship Id="rId16" Type="http://schemas.openxmlformats.org/officeDocument/2006/relationships/hyperlink" Target="https://app.orcafascio.com/orc/orcamentos/67a5f9b6a989cce962bd0561/composicoes/6716ad13d023aa061922ae29" TargetMode="External"/><Relationship Id="rId29" Type="http://schemas.openxmlformats.org/officeDocument/2006/relationships/hyperlink" Target="https://app.orcafascio.com/orc/orcamentos/67ac9e51ac016a5415a11def/composicoes/67855ca042cbab0a7b5df1ef" TargetMode="External"/><Relationship Id="rId11" Type="http://schemas.openxmlformats.org/officeDocument/2006/relationships/hyperlink" Target="https://app.orcafascio.com/orc/orcamentos/67ac9e51ac016a5415a11def/composicoes/678544d442cbab0a7b5dd821" TargetMode="External"/><Relationship Id="rId24" Type="http://schemas.openxmlformats.org/officeDocument/2006/relationships/hyperlink" Target="https://app.orcafascio.com/orc/orcamentos/67ac9e51ac016a5415a11def/composicoes/67855ca042cbab0a7b5df1ef" TargetMode="External"/><Relationship Id="rId32" Type="http://schemas.openxmlformats.org/officeDocument/2006/relationships/hyperlink" Target="https://app.orcafascio.com/v2023/orc/orcamentos/67b8a42b745f27319597cf22/compositions/9291ec43-9108-4118-a189-0d88f7d0a2e5?id_focus=d2434ecf-ac37-4920-a4ca-0b3d5379f53d" TargetMode="External"/><Relationship Id="rId37" Type="http://schemas.openxmlformats.org/officeDocument/2006/relationships/hyperlink" Target="https://app.orcafascio.com/v2023/orc/orcamentos/67b8a42b745f27319597cf22/compositions/c5a0ae3a-f157-48db-a9fd-d6924cdb240b?id_focus=2a4a8a05-ef4f-4569-8bfd-4780c7261a86" TargetMode="External"/><Relationship Id="rId40" Type="http://schemas.openxmlformats.org/officeDocument/2006/relationships/hyperlink" Target="https://app.orcafascio.com/v2023/orc/orcamentos/67b8a42b745f27319597cf22/compositions/2c918509-7e9e-4818-a897-ef35ce7cc64e?id_focus=17c616c1-ca15-475e-974c-ea37a8dacc19" TargetMode="External"/><Relationship Id="rId45" Type="http://schemas.openxmlformats.org/officeDocument/2006/relationships/hyperlink" Target="https://app.orcafascio.com/v2023/orc/orcamentos/67b8a42b745f27319597cf22/compositions/42554f74-8e1c-4d89-a18c-f16d4e9484bc?id_focus=ce58762d-990f-4627-80e8-038fffa7e2d3" TargetMode="External"/><Relationship Id="rId53" Type="http://schemas.openxmlformats.org/officeDocument/2006/relationships/hyperlink" Target="https://app.orcafascio.com/v2023/orc/orcamentos/67b8aed4ac016a09dc662ebb/compositions/e7c0ffd3-ec76-4a61-9b42-09597146c558?id_focus=4d620725-80bd-4254-a2dc-b84949d8212d" TargetMode="External"/><Relationship Id="rId5" Type="http://schemas.openxmlformats.org/officeDocument/2006/relationships/hyperlink" Target="https://app.orcafascio.com/orc/orcamentos/67ac9e51ac016a5415a11def/composicoes/678544c542cbab0a7b5dd81d" TargetMode="External"/><Relationship Id="rId10" Type="http://schemas.openxmlformats.org/officeDocument/2006/relationships/hyperlink" Target="https://app.orcafascio.com/orc/orcamentos/67ac9e51ac016a5415a11def/composicoes/678544c542cbab0a7b5dd81d" TargetMode="External"/><Relationship Id="rId19" Type="http://schemas.openxmlformats.org/officeDocument/2006/relationships/hyperlink" Target="https://app.orcafascio.com/orc/orcamentos/67a5f9b6a989cce962bd0561/composicoes/6716ad26d023aa061722b6bb" TargetMode="External"/><Relationship Id="rId31" Type="http://schemas.openxmlformats.org/officeDocument/2006/relationships/hyperlink" Target="https://app.orcafascio.com/orc/orcamentos/67a5f9b6a989cce962bd0561/composicoes/6716ad13d023aa061922ae29" TargetMode="External"/><Relationship Id="rId44" Type="http://schemas.openxmlformats.org/officeDocument/2006/relationships/hyperlink" Target="https://app.orcafascio.com/v2023/orc/orcamentos/67b8a42b745f27319597cf22/compositions/69505d67-b1bb-45f0-9480-36ce230500c7?id_focus=386ebfcb-2782-4ba8-b45b-62d843473f33" TargetMode="External"/><Relationship Id="rId52" Type="http://schemas.openxmlformats.org/officeDocument/2006/relationships/hyperlink" Target="https://app.orcafascio.com/v2023/orc/orcamentos/67b8aed4ac016a09dc662ebb/compositions/661a1b8d-a597-4b8f-a109-13b3485def9f?id_focus=c319de50-3b97-406f-b300-d9db17cbecae" TargetMode="External"/><Relationship Id="rId4" Type="http://schemas.openxmlformats.org/officeDocument/2006/relationships/hyperlink" Target="https://app.orcafascio.com/orc/orcamentos/67ac9e51ac016a5415a11def/composicoes/678566e442cbab23ee5dde62" TargetMode="External"/><Relationship Id="rId9" Type="http://schemas.openxmlformats.org/officeDocument/2006/relationships/hyperlink" Target="https://app.orcafascio.com/orc/orcamentos/67ac9e51ac016a5415a11def/composicoes/678544d442cbab0a7b5dd821" TargetMode="External"/><Relationship Id="rId14" Type="http://schemas.openxmlformats.org/officeDocument/2006/relationships/hyperlink" Target="https://app.orcafascio.com/orc/orcamentos/67ac9e51ac016a5415a11def/composicoes/67855ca042cbab0a7b5df1ef" TargetMode="External"/><Relationship Id="rId22" Type="http://schemas.openxmlformats.org/officeDocument/2006/relationships/hyperlink" Target="https://app.orcafascio.com/orc/orcamentos/67a5f9b6a989cce962bd0561/composicoes/6716ad26d023aa061722b6bb" TargetMode="External"/><Relationship Id="rId27" Type="http://schemas.openxmlformats.org/officeDocument/2006/relationships/hyperlink" Target="https://app.orcafascio.com/orc/orcamentos/67a5f9b6a989cce962bd0561/composicoes/6716accbd023aa061922ae13" TargetMode="External"/><Relationship Id="rId30" Type="http://schemas.openxmlformats.org/officeDocument/2006/relationships/hyperlink" Target="https://app.orcafascio.com/orc/orcamentos/67a5f9b6a989cce962bd0561/composicoes/6716ad26d023aa061722b6bb" TargetMode="External"/><Relationship Id="rId35" Type="http://schemas.openxmlformats.org/officeDocument/2006/relationships/hyperlink" Target="https://app.orcafascio.com/v2023/orc/orcamentos/67b8a42b745f27319597cf22/compositions/ffd6cc7d-3df0-4c3c-beef-82ea6b564759?id_focus=037ed842-d391-42b5-91e2-149ebef7c121" TargetMode="External"/><Relationship Id="rId43" Type="http://schemas.openxmlformats.org/officeDocument/2006/relationships/hyperlink" Target="https://app.orcafascio.com/v2023/orc/orcamentos/67b8a42b745f27319597cf22/compositions/38fb425c-a3d6-4e93-ae05-809076aa91b0?id_focus=89bc4321-74ef-4166-a8a0-76ac450cb4af" TargetMode="External"/><Relationship Id="rId48" Type="http://schemas.openxmlformats.org/officeDocument/2006/relationships/hyperlink" Target="https://app.orcafascio.com/v2023/orc/orcamentos/67b8aed4ac016a09dc662ebb/compositions/8a09e09d-b91e-430e-ac29-d004365705c2?id_focus=33eb392f-2016-43cd-9fc7-30f4dadd2735" TargetMode="External"/><Relationship Id="rId8" Type="http://schemas.openxmlformats.org/officeDocument/2006/relationships/hyperlink" Target="https://app.orcafascio.com/orc/orcamentos/67ac9e51ac016a5415a11def/composicoes/678544c542cbab0a7b5dd81d" TargetMode="External"/><Relationship Id="rId51" Type="http://schemas.openxmlformats.org/officeDocument/2006/relationships/hyperlink" Target="https://app.orcafascio.com/v2023/orc/orcamentos/67b8aed4ac016a09dc662ebb/compositions/7936ff11-0db7-4189-8582-82e609bb8663?id_focus=63e40aef-ba78-4da6-a118-9ee02a2fdcb6" TargetMode="External"/><Relationship Id="rId3" Type="http://schemas.openxmlformats.org/officeDocument/2006/relationships/hyperlink" Target="https://app.orcafascio.com/orc/orcamentos/67ac9e51ac016a5415a11def/composicoes/678544e842cbab0a785dd815" TargetMode="External"/><Relationship Id="rId12" Type="http://schemas.openxmlformats.org/officeDocument/2006/relationships/hyperlink" Target="https://app.orcafascio.com/orc/orcamentos/67ac9e51ac016a5415a11def/composicoes/678544c542cbab0a7b5dd81d" TargetMode="External"/><Relationship Id="rId17" Type="http://schemas.openxmlformats.org/officeDocument/2006/relationships/hyperlink" Target="https://app.orcafascio.com/orc/orcamentos/67ac9e51ac016a5415a11def/composicoes/67855c8b42cbab0a785dedcc" TargetMode="External"/><Relationship Id="rId25" Type="http://schemas.openxmlformats.org/officeDocument/2006/relationships/hyperlink" Target="https://app.orcafascio.com/orc/orcamentos/67a5f9b6a989cce962bd0561/composicoes/6716ad26d023aa061722b6bb" TargetMode="External"/><Relationship Id="rId33" Type="http://schemas.openxmlformats.org/officeDocument/2006/relationships/hyperlink" Target="https://app.orcafascio.com/v2023/orc/orcamentos/67b8a42b745f27319597cf22/compositions/afb8c4ef-332a-4ff5-9453-8a38e99e1e87?id_focus=895dd9c4-ca68-4548-bb23-8b93d1673cf8" TargetMode="External"/><Relationship Id="rId38" Type="http://schemas.openxmlformats.org/officeDocument/2006/relationships/hyperlink" Target="https://app.orcafascio.com/v2023/orc/orcamentos/67b8a42b745f27319597cf22/compositions/b5da34b9-c951-4fe0-a2a3-ef11ef7a0fa7?id_focus=6005f9c6-cd24-4c00-a12c-2d8ea907c352" TargetMode="External"/><Relationship Id="rId46" Type="http://schemas.openxmlformats.org/officeDocument/2006/relationships/hyperlink" Target="https://app.orcafascio.com/v2023/orc/orcamentos/67b8a42b745f27319597cf22/compositions/a4544508-d642-40a4-8137-59552e5530af?id_focus=af3b4b07-c13a-4661-a4f0-035bc9620a20" TargetMode="External"/><Relationship Id="rId20" Type="http://schemas.openxmlformats.org/officeDocument/2006/relationships/hyperlink" Target="https://app.orcafascio.com/orc/orcamentos/67a5f9b6a989cce962bd0561/composicoes/6716ad13d023aa061922ae29" TargetMode="External"/><Relationship Id="rId41" Type="http://schemas.openxmlformats.org/officeDocument/2006/relationships/hyperlink" Target="https://app.orcafascio.com/v2023/orc/orcamentos/67b8a42b745f27319597cf22/compositions/7e0726d7-0902-4873-b0f5-87afe7e0cc80?id_focus=e0715549-ccc4-4dd8-b0dd-6f4603b05e75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https://app.orcafascio.com/orc/orcamentos/67ac9e51ac016a5415a11def/composicoes/678544c542cbab0a7b5dd81d" TargetMode="External"/><Relationship Id="rId6" Type="http://schemas.openxmlformats.org/officeDocument/2006/relationships/hyperlink" Target="https://app.orcafascio.com/orc/orcamentos/67ac9e51ac016a5415a11def/composicoes/678544d442cbab0a7b5dd821" TargetMode="External"/><Relationship Id="rId15" Type="http://schemas.openxmlformats.org/officeDocument/2006/relationships/hyperlink" Target="https://app.orcafascio.com/orc/orcamentos/67a5f9b6a989cce962bd0561/composicoes/6716ad26d023aa061722b6bb" TargetMode="External"/><Relationship Id="rId23" Type="http://schemas.openxmlformats.org/officeDocument/2006/relationships/hyperlink" Target="https://app.orcafascio.com/orc/orcamentos/67a5f9b6a989cce962bd0561/composicoes/6716ad13d023aa061922ae29" TargetMode="External"/><Relationship Id="rId28" Type="http://schemas.openxmlformats.org/officeDocument/2006/relationships/hyperlink" Target="https://app.orcafascio.com/orc/orcamentos/67ac9e51ac016a5415a11def/composicoes/678544d442cbab0a7b5dd821" TargetMode="External"/><Relationship Id="rId36" Type="http://schemas.openxmlformats.org/officeDocument/2006/relationships/hyperlink" Target="https://app.orcafascio.com/v2023/orc/orcamentos/67b8a42b745f27319597cf22/compositions/adfc9829-cbb4-40a7-a16e-a058e32640ef?id_focus=3d68916d-0ebb-4414-9da9-336d54499406" TargetMode="External"/><Relationship Id="rId49" Type="http://schemas.openxmlformats.org/officeDocument/2006/relationships/hyperlink" Target="https://app.orcafascio.com/v2023/orc/orcamentos/67b8aed4ac016a09dc662ebb/compositions/a439ed35-ccc7-4cde-aaf0-7907c14dc329?id_focus=011dd8bc-2279-48e0-86dd-9d115f8d56b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555"/>
  <sheetViews>
    <sheetView tabSelected="1" view="pageBreakPreview" topLeftCell="A2" zoomScale="66" zoomScaleNormal="66" zoomScaleSheetLayoutView="66" workbookViewId="0">
      <selection activeCell="I24" sqref="I24"/>
    </sheetView>
  </sheetViews>
  <sheetFormatPr defaultRowHeight="14.25"/>
  <cols>
    <col min="1" max="1" width="12.25" customWidth="1"/>
    <col min="2" max="2" width="10" bestFit="1" customWidth="1"/>
    <col min="3" max="3" width="13.25" bestFit="1" customWidth="1"/>
    <col min="4" max="4" width="59.125" customWidth="1"/>
    <col min="5" max="5" width="8" bestFit="1" customWidth="1"/>
    <col min="6" max="6" width="11.375" customWidth="1"/>
    <col min="7" max="7" width="11.25" customWidth="1"/>
    <col min="8" max="8" width="11.5" style="7" customWidth="1"/>
    <col min="9" max="9" width="11.25" customWidth="1"/>
    <col min="10" max="10" width="17.625" customWidth="1"/>
    <col min="11" max="11" width="18.125" bestFit="1" customWidth="1"/>
    <col min="12" max="12" width="11" customWidth="1"/>
  </cols>
  <sheetData>
    <row r="1" spans="1:21" ht="105" customHeight="1" thickTop="1" thickBot="1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21" ht="22.15" customHeight="1" thickTop="1" thickBot="1">
      <c r="A2" s="290" t="s">
        <v>5779</v>
      </c>
      <c r="B2" s="290"/>
      <c r="C2" s="290"/>
      <c r="D2" s="290"/>
      <c r="E2" s="290"/>
      <c r="F2" s="290"/>
      <c r="G2" s="290"/>
      <c r="H2" s="290"/>
      <c r="I2" s="290"/>
      <c r="J2" s="290"/>
      <c r="K2" s="249"/>
      <c r="L2" s="178"/>
      <c r="M2" s="178"/>
      <c r="N2" s="178"/>
      <c r="O2" s="178"/>
      <c r="P2" s="180"/>
      <c r="Q2" s="180"/>
      <c r="R2" s="180"/>
      <c r="S2" s="180"/>
      <c r="T2" s="180"/>
      <c r="U2" s="180"/>
    </row>
    <row r="3" spans="1:21" ht="37.15" customHeight="1" thickTop="1" thickBot="1">
      <c r="A3" s="250" t="s">
        <v>5780</v>
      </c>
      <c r="B3" s="291" t="s">
        <v>5789</v>
      </c>
      <c r="C3" s="291"/>
      <c r="D3" s="291"/>
      <c r="E3" s="291"/>
      <c r="F3" s="291"/>
      <c r="G3" s="291"/>
      <c r="H3" s="291"/>
      <c r="I3" s="292" t="s">
        <v>1</v>
      </c>
      <c r="J3" s="292"/>
      <c r="K3" s="251"/>
      <c r="L3" s="179"/>
      <c r="M3" s="179"/>
      <c r="N3" s="200"/>
      <c r="O3" s="179"/>
      <c r="P3" s="177"/>
      <c r="Q3" s="177"/>
      <c r="R3" s="181"/>
      <c r="S3" s="177"/>
      <c r="T3" s="177"/>
      <c r="U3" s="177"/>
    </row>
    <row r="4" spans="1:21" ht="18" customHeight="1" thickTop="1" thickBot="1">
      <c r="A4" s="250" t="s">
        <v>5781</v>
      </c>
      <c r="B4" s="293" t="s">
        <v>3</v>
      </c>
      <c r="C4" s="293"/>
      <c r="D4" s="293"/>
      <c r="E4" s="293"/>
      <c r="F4" s="293"/>
      <c r="G4" s="293"/>
      <c r="H4" s="293"/>
      <c r="I4" s="292" t="s">
        <v>5782</v>
      </c>
      <c r="J4" s="292"/>
      <c r="K4" s="252"/>
      <c r="L4" s="182"/>
      <c r="M4" s="182"/>
      <c r="N4" s="201"/>
      <c r="O4" s="182"/>
      <c r="P4" s="182"/>
      <c r="Q4" s="182"/>
      <c r="R4" s="182"/>
      <c r="S4" s="182"/>
      <c r="T4" s="182"/>
      <c r="U4" s="182"/>
    </row>
    <row r="5" spans="1:21" ht="45" customHeight="1" thickTop="1" thickBot="1">
      <c r="A5" s="250" t="s">
        <v>5783</v>
      </c>
      <c r="B5" s="293"/>
      <c r="C5" s="293"/>
      <c r="D5" s="293"/>
      <c r="E5" s="293"/>
      <c r="F5" s="293"/>
      <c r="G5" s="293"/>
      <c r="H5" s="293"/>
      <c r="I5" s="292" t="s">
        <v>5784</v>
      </c>
      <c r="J5" s="292"/>
      <c r="K5" s="252"/>
      <c r="L5" s="182"/>
      <c r="M5" s="182"/>
      <c r="N5" s="201"/>
      <c r="O5" s="182"/>
      <c r="P5" s="182"/>
      <c r="Q5" s="182"/>
      <c r="R5" s="182"/>
      <c r="S5" s="182"/>
      <c r="T5" s="182"/>
      <c r="U5" s="182"/>
    </row>
    <row r="6" spans="1:21" ht="27" thickTop="1" thickBot="1">
      <c r="A6" s="250" t="s">
        <v>5785</v>
      </c>
      <c r="B6" s="293"/>
      <c r="C6" s="293"/>
      <c r="D6" s="293"/>
      <c r="E6" s="293"/>
      <c r="F6" s="293"/>
      <c r="G6" s="293"/>
      <c r="H6" s="293"/>
      <c r="I6" s="292" t="s">
        <v>30</v>
      </c>
      <c r="J6" s="292"/>
      <c r="K6" s="253"/>
      <c r="L6" s="182"/>
      <c r="M6" s="182"/>
      <c r="N6" s="201"/>
      <c r="O6" s="182"/>
      <c r="P6" s="182"/>
      <c r="Q6" s="182"/>
      <c r="R6" s="182"/>
      <c r="S6" s="182"/>
      <c r="T6" s="182"/>
      <c r="U6" s="182"/>
    </row>
    <row r="7" spans="1:21" ht="25.9" customHeight="1" thickTop="1" thickBot="1">
      <c r="A7" s="298"/>
      <c r="B7" s="298"/>
      <c r="C7" s="298"/>
      <c r="D7" s="298"/>
      <c r="E7" s="298"/>
      <c r="F7" s="298"/>
      <c r="G7" s="292" t="s">
        <v>5786</v>
      </c>
      <c r="H7" s="292"/>
      <c r="I7" s="292"/>
      <c r="J7" s="292"/>
      <c r="K7" s="254">
        <f>J1622</f>
        <v>0</v>
      </c>
      <c r="L7" s="182"/>
      <c r="M7" s="182"/>
      <c r="N7" s="201"/>
      <c r="O7" s="182"/>
      <c r="P7" s="182"/>
      <c r="Q7" s="182"/>
      <c r="R7" s="182"/>
      <c r="S7" s="182"/>
      <c r="T7" s="182"/>
      <c r="U7" s="182"/>
    </row>
    <row r="8" spans="1:21" ht="18" thickTop="1" thickBot="1">
      <c r="A8" s="298"/>
      <c r="B8" s="298"/>
      <c r="C8" s="298"/>
      <c r="D8" s="298"/>
      <c r="E8" s="298"/>
      <c r="F8" s="298"/>
      <c r="G8" s="292" t="s">
        <v>5787</v>
      </c>
      <c r="H8" s="292"/>
      <c r="I8" s="292"/>
      <c r="J8" s="292"/>
      <c r="K8" s="254">
        <f>J1623</f>
        <v>0</v>
      </c>
      <c r="L8" s="182"/>
      <c r="M8" s="182"/>
      <c r="N8" s="201"/>
      <c r="O8" s="182"/>
      <c r="P8" s="182"/>
      <c r="Q8" s="182"/>
      <c r="R8" s="182"/>
      <c r="S8" s="182"/>
      <c r="T8" s="182"/>
      <c r="U8" s="182"/>
    </row>
    <row r="9" spans="1:21" ht="18" thickTop="1" thickBot="1">
      <c r="A9" s="298"/>
      <c r="B9" s="298"/>
      <c r="C9" s="298"/>
      <c r="D9" s="298"/>
      <c r="E9" s="298"/>
      <c r="F9" s="298"/>
      <c r="G9" s="292" t="s">
        <v>5788</v>
      </c>
      <c r="H9" s="292"/>
      <c r="I9" s="292"/>
      <c r="J9" s="292"/>
      <c r="K9" s="254">
        <f>J1624</f>
        <v>0</v>
      </c>
      <c r="L9" s="182"/>
      <c r="M9" s="182"/>
      <c r="N9" s="201"/>
      <c r="O9" s="182"/>
      <c r="P9" s="182"/>
      <c r="Q9" s="182"/>
      <c r="R9" s="182"/>
      <c r="S9" s="182"/>
      <c r="T9" s="182"/>
      <c r="U9" s="182"/>
    </row>
    <row r="10" spans="1:21" ht="17.25" thickTop="1">
      <c r="A10" s="255" t="s">
        <v>8</v>
      </c>
      <c r="B10" s="246"/>
      <c r="C10" s="246"/>
      <c r="D10" s="246" t="s">
        <v>9</v>
      </c>
      <c r="E10" s="246"/>
      <c r="F10" s="247"/>
      <c r="G10" s="246"/>
      <c r="H10" s="246"/>
      <c r="I10" s="246"/>
      <c r="J10" s="248"/>
      <c r="K10" s="256"/>
      <c r="L10" s="182"/>
      <c r="M10" s="182"/>
      <c r="O10" s="182"/>
      <c r="P10" s="182"/>
      <c r="Q10" s="182"/>
      <c r="R10" s="182"/>
      <c r="S10" s="182"/>
      <c r="T10" s="182"/>
      <c r="U10" s="182"/>
    </row>
    <row r="11" spans="1:21" ht="16.5">
      <c r="A11" s="257" t="s">
        <v>32</v>
      </c>
      <c r="B11" s="170" t="s">
        <v>33</v>
      </c>
      <c r="C11" s="186" t="s">
        <v>34</v>
      </c>
      <c r="D11" s="186" t="s">
        <v>35</v>
      </c>
      <c r="E11" s="171" t="s">
        <v>36</v>
      </c>
      <c r="F11" s="170">
        <v>1</v>
      </c>
      <c r="G11" s="172"/>
      <c r="H11" s="204"/>
      <c r="I11" s="172"/>
      <c r="J11" s="172"/>
      <c r="K11" s="258"/>
      <c r="L11" s="182"/>
      <c r="M11" s="182"/>
      <c r="O11" s="182"/>
      <c r="P11" s="182"/>
      <c r="Q11" s="182"/>
      <c r="R11" s="182"/>
      <c r="S11" s="182"/>
      <c r="T11" s="182"/>
      <c r="U11" s="182"/>
    </row>
    <row r="12" spans="1:21">
      <c r="A12" s="259" t="s">
        <v>10</v>
      </c>
      <c r="B12" s="187"/>
      <c r="C12" s="187"/>
      <c r="D12" s="187" t="s">
        <v>11</v>
      </c>
      <c r="E12" s="187"/>
      <c r="F12" s="169"/>
      <c r="G12" s="187"/>
      <c r="H12" s="187"/>
      <c r="I12" s="187"/>
      <c r="J12" s="168"/>
      <c r="K12" s="260"/>
    </row>
    <row r="13" spans="1:21">
      <c r="A13" s="257" t="s">
        <v>37</v>
      </c>
      <c r="B13" s="170" t="s">
        <v>38</v>
      </c>
      <c r="C13" s="186" t="s">
        <v>34</v>
      </c>
      <c r="D13" s="186" t="s">
        <v>39</v>
      </c>
      <c r="E13" s="171" t="s">
        <v>36</v>
      </c>
      <c r="F13" s="170">
        <v>1</v>
      </c>
      <c r="G13" s="172"/>
      <c r="H13" s="194"/>
      <c r="I13" s="172"/>
      <c r="J13" s="172"/>
      <c r="K13" s="258"/>
    </row>
    <row r="14" spans="1:21">
      <c r="A14" s="259" t="s">
        <v>40</v>
      </c>
      <c r="B14" s="187"/>
      <c r="C14" s="187"/>
      <c r="D14" s="187" t="s">
        <v>12</v>
      </c>
      <c r="E14" s="187"/>
      <c r="F14" s="169"/>
      <c r="G14" s="187"/>
      <c r="H14" s="187"/>
      <c r="I14" s="187"/>
      <c r="J14" s="168"/>
      <c r="K14" s="260"/>
    </row>
    <row r="15" spans="1:21" ht="25.5">
      <c r="A15" s="257" t="s">
        <v>41</v>
      </c>
      <c r="B15" s="170" t="s">
        <v>42</v>
      </c>
      <c r="C15" s="186" t="s">
        <v>43</v>
      </c>
      <c r="D15" s="186" t="s">
        <v>44</v>
      </c>
      <c r="E15" s="171" t="s">
        <v>45</v>
      </c>
      <c r="F15" s="170">
        <v>15</v>
      </c>
      <c r="G15" s="172"/>
      <c r="H15" s="194"/>
      <c r="I15" s="172"/>
      <c r="J15" s="172"/>
      <c r="K15" s="258"/>
    </row>
    <row r="16" spans="1:21" ht="38.25">
      <c r="A16" s="257" t="s">
        <v>46</v>
      </c>
      <c r="B16" s="170" t="s">
        <v>47</v>
      </c>
      <c r="C16" s="186" t="s">
        <v>34</v>
      </c>
      <c r="D16" s="186" t="s">
        <v>48</v>
      </c>
      <c r="E16" s="171" t="s">
        <v>36</v>
      </c>
      <c r="F16" s="170">
        <v>1</v>
      </c>
      <c r="G16" s="172"/>
      <c r="H16" s="194"/>
      <c r="I16" s="172"/>
      <c r="J16" s="172"/>
      <c r="K16" s="258"/>
    </row>
    <row r="17" spans="1:11" ht="25.5">
      <c r="A17" s="257" t="s">
        <v>49</v>
      </c>
      <c r="B17" s="170" t="s">
        <v>50</v>
      </c>
      <c r="C17" s="186" t="s">
        <v>34</v>
      </c>
      <c r="D17" s="186" t="s">
        <v>51</v>
      </c>
      <c r="E17" s="171" t="s">
        <v>36</v>
      </c>
      <c r="F17" s="170">
        <v>1</v>
      </c>
      <c r="G17" s="172"/>
      <c r="H17" s="194"/>
      <c r="I17" s="172"/>
      <c r="J17" s="172"/>
      <c r="K17" s="258"/>
    </row>
    <row r="18" spans="1:11" ht="25.5">
      <c r="A18" s="257" t="s">
        <v>52</v>
      </c>
      <c r="B18" s="170" t="s">
        <v>53</v>
      </c>
      <c r="C18" s="186" t="s">
        <v>34</v>
      </c>
      <c r="D18" s="186" t="s">
        <v>54</v>
      </c>
      <c r="E18" s="171" t="s">
        <v>45</v>
      </c>
      <c r="F18" s="170">
        <v>15.1</v>
      </c>
      <c r="G18" s="172"/>
      <c r="H18" s="194"/>
      <c r="I18" s="172"/>
      <c r="J18" s="172"/>
      <c r="K18" s="258"/>
    </row>
    <row r="19" spans="1:11" ht="38.25">
      <c r="A19" s="261" t="s">
        <v>55</v>
      </c>
      <c r="B19" s="173" t="s">
        <v>56</v>
      </c>
      <c r="C19" s="188" t="s">
        <v>43</v>
      </c>
      <c r="D19" s="188" t="s">
        <v>57</v>
      </c>
      <c r="E19" s="174" t="s">
        <v>58</v>
      </c>
      <c r="F19" s="173">
        <v>10</v>
      </c>
      <c r="G19" s="175"/>
      <c r="H19" s="209"/>
      <c r="I19" s="175"/>
      <c r="J19" s="175"/>
      <c r="K19" s="262"/>
    </row>
    <row r="20" spans="1:11">
      <c r="A20" s="257" t="s">
        <v>59</v>
      </c>
      <c r="B20" s="170" t="s">
        <v>5741</v>
      </c>
      <c r="C20" s="186" t="s">
        <v>34</v>
      </c>
      <c r="D20" s="186" t="s">
        <v>5736</v>
      </c>
      <c r="E20" s="171" t="s">
        <v>276</v>
      </c>
      <c r="F20" s="170">
        <v>150.80000000000001</v>
      </c>
      <c r="G20" s="172"/>
      <c r="H20" s="194"/>
      <c r="I20" s="172"/>
      <c r="J20" s="172"/>
      <c r="K20" s="258"/>
    </row>
    <row r="21" spans="1:11" ht="38.25">
      <c r="A21" s="261" t="s">
        <v>60</v>
      </c>
      <c r="B21" s="173" t="s">
        <v>5742</v>
      </c>
      <c r="C21" s="188" t="s">
        <v>34</v>
      </c>
      <c r="D21" s="188" t="s">
        <v>5737</v>
      </c>
      <c r="E21" s="174" t="s">
        <v>5652</v>
      </c>
      <c r="F21" s="173">
        <v>40</v>
      </c>
      <c r="G21" s="175"/>
      <c r="H21" s="209"/>
      <c r="I21" s="175"/>
      <c r="J21" s="175"/>
      <c r="K21" s="262"/>
    </row>
    <row r="22" spans="1:11" ht="38.25">
      <c r="A22" s="257" t="s">
        <v>63</v>
      </c>
      <c r="B22" s="170" t="s">
        <v>61</v>
      </c>
      <c r="C22" s="186" t="s">
        <v>34</v>
      </c>
      <c r="D22" s="186" t="s">
        <v>62</v>
      </c>
      <c r="E22" s="171" t="s">
        <v>45</v>
      </c>
      <c r="F22" s="170">
        <v>50.3</v>
      </c>
      <c r="G22" s="172"/>
      <c r="H22" s="194"/>
      <c r="I22" s="172"/>
      <c r="J22" s="172"/>
      <c r="K22" s="258"/>
    </row>
    <row r="23" spans="1:11" ht="25.5">
      <c r="A23" s="257" t="s">
        <v>66</v>
      </c>
      <c r="B23" s="170" t="s">
        <v>64</v>
      </c>
      <c r="C23" s="186" t="s">
        <v>34</v>
      </c>
      <c r="D23" s="186" t="s">
        <v>65</v>
      </c>
      <c r="E23" s="171" t="s">
        <v>45</v>
      </c>
      <c r="F23" s="170">
        <v>50</v>
      </c>
      <c r="G23" s="172"/>
      <c r="H23" s="194"/>
      <c r="I23" s="172"/>
      <c r="J23" s="172"/>
      <c r="K23" s="258"/>
    </row>
    <row r="24" spans="1:11" ht="38.25">
      <c r="A24" s="257" t="s">
        <v>69</v>
      </c>
      <c r="B24" s="170" t="s">
        <v>67</v>
      </c>
      <c r="C24" s="186" t="s">
        <v>34</v>
      </c>
      <c r="D24" s="186" t="s">
        <v>68</v>
      </c>
      <c r="E24" s="171" t="s">
        <v>45</v>
      </c>
      <c r="F24" s="170">
        <v>27.4</v>
      </c>
      <c r="G24" s="172"/>
      <c r="H24" s="194"/>
      <c r="I24" s="172"/>
      <c r="J24" s="172"/>
      <c r="K24" s="258"/>
    </row>
    <row r="25" spans="1:11" ht="25.5">
      <c r="A25" s="257" t="s">
        <v>72</v>
      </c>
      <c r="B25" s="170" t="s">
        <v>70</v>
      </c>
      <c r="C25" s="186" t="s">
        <v>34</v>
      </c>
      <c r="D25" s="186" t="s">
        <v>71</v>
      </c>
      <c r="E25" s="171" t="s">
        <v>45</v>
      </c>
      <c r="F25" s="170">
        <v>5</v>
      </c>
      <c r="G25" s="172"/>
      <c r="H25" s="194"/>
      <c r="I25" s="172"/>
      <c r="J25" s="172"/>
      <c r="K25" s="258"/>
    </row>
    <row r="26" spans="1:11" ht="25.5">
      <c r="A26" s="257" t="s">
        <v>73</v>
      </c>
      <c r="B26" s="170" t="s">
        <v>5743</v>
      </c>
      <c r="C26" s="186" t="s">
        <v>34</v>
      </c>
      <c r="D26" s="186" t="s">
        <v>5738</v>
      </c>
      <c r="E26" s="171" t="s">
        <v>2514</v>
      </c>
      <c r="F26" s="170">
        <v>2</v>
      </c>
      <c r="G26" s="172"/>
      <c r="H26" s="194"/>
      <c r="I26" s="172"/>
      <c r="J26" s="172"/>
      <c r="K26" s="258"/>
    </row>
    <row r="27" spans="1:11">
      <c r="A27" s="257" t="s">
        <v>5715</v>
      </c>
      <c r="B27" s="170" t="s">
        <v>5744</v>
      </c>
      <c r="C27" s="186" t="s">
        <v>34</v>
      </c>
      <c r="D27" s="186" t="s">
        <v>5739</v>
      </c>
      <c r="E27" s="171" t="s">
        <v>36</v>
      </c>
      <c r="F27" s="170">
        <v>10</v>
      </c>
      <c r="G27" s="172"/>
      <c r="H27" s="194"/>
      <c r="I27" s="172"/>
      <c r="J27" s="172"/>
      <c r="K27" s="258"/>
    </row>
    <row r="28" spans="1:11" ht="25.5">
      <c r="A28" s="257" t="s">
        <v>5717</v>
      </c>
      <c r="B28" s="170" t="s">
        <v>5727</v>
      </c>
      <c r="C28" s="186" t="s">
        <v>34</v>
      </c>
      <c r="D28" s="186" t="s">
        <v>5723</v>
      </c>
      <c r="E28" s="171" t="s">
        <v>1943</v>
      </c>
      <c r="F28" s="170">
        <v>92.34</v>
      </c>
      <c r="G28" s="172"/>
      <c r="H28" s="194"/>
      <c r="I28" s="172"/>
      <c r="J28" s="172"/>
      <c r="K28" s="258"/>
    </row>
    <row r="29" spans="1:11" ht="25.5">
      <c r="A29" s="257" t="s">
        <v>5729</v>
      </c>
      <c r="B29" s="170" t="s">
        <v>5728</v>
      </c>
      <c r="C29" s="186" t="s">
        <v>34</v>
      </c>
      <c r="D29" s="186" t="s">
        <v>5724</v>
      </c>
      <c r="E29" s="171" t="s">
        <v>1947</v>
      </c>
      <c r="F29" s="170">
        <v>1939.14</v>
      </c>
      <c r="G29" s="172"/>
      <c r="H29" s="194"/>
      <c r="I29" s="172"/>
      <c r="J29" s="172"/>
      <c r="K29" s="258"/>
    </row>
    <row r="30" spans="1:11">
      <c r="A30" s="257" t="s">
        <v>5730</v>
      </c>
      <c r="B30" s="170" t="s">
        <v>5714</v>
      </c>
      <c r="C30" s="186" t="s">
        <v>34</v>
      </c>
      <c r="D30" s="186" t="s">
        <v>5711</v>
      </c>
      <c r="E30" s="171" t="s">
        <v>144</v>
      </c>
      <c r="F30" s="170">
        <v>770.17</v>
      </c>
      <c r="G30" s="172"/>
      <c r="H30" s="194"/>
      <c r="I30" s="172"/>
      <c r="J30" s="172"/>
      <c r="K30" s="258"/>
    </row>
    <row r="31" spans="1:11" ht="25.5">
      <c r="A31" s="257" t="s">
        <v>5731</v>
      </c>
      <c r="B31" s="170" t="s">
        <v>5716</v>
      </c>
      <c r="C31" s="186" t="s">
        <v>43</v>
      </c>
      <c r="D31" s="186" t="s">
        <v>5712</v>
      </c>
      <c r="E31" s="171" t="s">
        <v>5653</v>
      </c>
      <c r="F31" s="170">
        <v>2062.5</v>
      </c>
      <c r="G31" s="172"/>
      <c r="H31" s="194"/>
      <c r="I31" s="172"/>
      <c r="J31" s="172"/>
      <c r="K31" s="258"/>
    </row>
    <row r="32" spans="1:11" ht="25.5">
      <c r="A32" s="257" t="s">
        <v>5732</v>
      </c>
      <c r="B32" s="170" t="s">
        <v>5718</v>
      </c>
      <c r="C32" s="186" t="s">
        <v>43</v>
      </c>
      <c r="D32" s="186" t="s">
        <v>5713</v>
      </c>
      <c r="E32" s="171" t="s">
        <v>5654</v>
      </c>
      <c r="F32" s="170">
        <v>1237.5</v>
      </c>
      <c r="G32" s="172"/>
      <c r="H32" s="194"/>
      <c r="I32" s="172"/>
      <c r="J32" s="172"/>
      <c r="K32" s="258"/>
    </row>
    <row r="33" spans="1:11" ht="25.5">
      <c r="A33" s="257" t="s">
        <v>5734</v>
      </c>
      <c r="B33" s="170" t="s">
        <v>5733</v>
      </c>
      <c r="C33" s="186" t="s">
        <v>43</v>
      </c>
      <c r="D33" s="186" t="s">
        <v>5725</v>
      </c>
      <c r="E33" s="171" t="s">
        <v>126</v>
      </c>
      <c r="F33" s="170">
        <v>0.81</v>
      </c>
      <c r="G33" s="172"/>
      <c r="H33" s="194"/>
      <c r="I33" s="172"/>
      <c r="J33" s="172"/>
      <c r="K33" s="258"/>
    </row>
    <row r="34" spans="1:11" ht="25.5">
      <c r="A34" s="257" t="s">
        <v>5745</v>
      </c>
      <c r="B34" s="170" t="s">
        <v>5735</v>
      </c>
      <c r="C34" s="186" t="s">
        <v>43</v>
      </c>
      <c r="D34" s="186" t="s">
        <v>5726</v>
      </c>
      <c r="E34" s="171" t="s">
        <v>36</v>
      </c>
      <c r="F34" s="170">
        <v>5</v>
      </c>
      <c r="G34" s="172"/>
      <c r="H34" s="194"/>
      <c r="I34" s="172"/>
      <c r="J34" s="172"/>
      <c r="K34" s="258"/>
    </row>
    <row r="35" spans="1:11">
      <c r="A35" s="257" t="s">
        <v>5791</v>
      </c>
      <c r="B35" s="170" t="s">
        <v>5792</v>
      </c>
      <c r="C35" s="186" t="s">
        <v>34</v>
      </c>
      <c r="D35" s="186" t="s">
        <v>5793</v>
      </c>
      <c r="E35" s="171" t="s">
        <v>45</v>
      </c>
      <c r="F35" s="170">
        <v>40.799999999999997</v>
      </c>
      <c r="G35" s="172"/>
      <c r="H35" s="194"/>
      <c r="I35" s="172"/>
      <c r="J35" s="172"/>
      <c r="K35" s="258"/>
    </row>
    <row r="36" spans="1:11">
      <c r="A36" s="257" t="s">
        <v>5794</v>
      </c>
      <c r="B36" s="170" t="s">
        <v>5795</v>
      </c>
      <c r="C36" s="186" t="s">
        <v>34</v>
      </c>
      <c r="D36" s="186" t="s">
        <v>5796</v>
      </c>
      <c r="E36" s="171" t="s">
        <v>5652</v>
      </c>
      <c r="F36" s="170">
        <v>10</v>
      </c>
      <c r="G36" s="172"/>
      <c r="H36" s="194"/>
      <c r="I36" s="172"/>
      <c r="J36" s="172"/>
      <c r="K36" s="258"/>
    </row>
    <row r="37" spans="1:11">
      <c r="A37" s="259" t="s">
        <v>74</v>
      </c>
      <c r="B37" s="187"/>
      <c r="C37" s="187"/>
      <c r="D37" s="187" t="s">
        <v>15</v>
      </c>
      <c r="E37" s="187"/>
      <c r="F37" s="169"/>
      <c r="G37" s="187"/>
      <c r="H37" s="193"/>
      <c r="I37" s="187"/>
      <c r="J37" s="168"/>
      <c r="K37" s="260"/>
    </row>
    <row r="38" spans="1:11">
      <c r="A38" s="259" t="s">
        <v>75</v>
      </c>
      <c r="B38" s="187"/>
      <c r="C38" s="187"/>
      <c r="D38" s="187" t="s">
        <v>76</v>
      </c>
      <c r="E38" s="187"/>
      <c r="F38" s="169"/>
      <c r="G38" s="187"/>
      <c r="H38" s="193"/>
      <c r="I38" s="187"/>
      <c r="J38" s="168"/>
      <c r="K38" s="260"/>
    </row>
    <row r="39" spans="1:11" ht="38.25">
      <c r="A39" s="257" t="s">
        <v>77</v>
      </c>
      <c r="B39" s="170" t="s">
        <v>78</v>
      </c>
      <c r="C39" s="186" t="s">
        <v>43</v>
      </c>
      <c r="D39" s="186" t="s">
        <v>79</v>
      </c>
      <c r="E39" s="171" t="s">
        <v>80</v>
      </c>
      <c r="F39" s="170">
        <v>5278.09</v>
      </c>
      <c r="G39" s="172"/>
      <c r="H39" s="194"/>
      <c r="I39" s="172"/>
      <c r="J39" s="172"/>
      <c r="K39" s="258"/>
    </row>
    <row r="40" spans="1:11" ht="38.25">
      <c r="A40" s="257" t="s">
        <v>81</v>
      </c>
      <c r="B40" s="170" t="s">
        <v>82</v>
      </c>
      <c r="C40" s="186" t="s">
        <v>43</v>
      </c>
      <c r="D40" s="186" t="s">
        <v>83</v>
      </c>
      <c r="E40" s="171" t="s">
        <v>80</v>
      </c>
      <c r="F40" s="170">
        <v>2938</v>
      </c>
      <c r="G40" s="172"/>
      <c r="H40" s="194"/>
      <c r="I40" s="172"/>
      <c r="J40" s="172"/>
      <c r="K40" s="258"/>
    </row>
    <row r="41" spans="1:11" ht="38.25">
      <c r="A41" s="257" t="s">
        <v>84</v>
      </c>
      <c r="B41" s="170" t="s">
        <v>85</v>
      </c>
      <c r="C41" s="186" t="s">
        <v>43</v>
      </c>
      <c r="D41" s="186" t="s">
        <v>86</v>
      </c>
      <c r="E41" s="171" t="s">
        <v>80</v>
      </c>
      <c r="F41" s="170">
        <v>2122.09</v>
      </c>
      <c r="G41" s="172"/>
      <c r="H41" s="194"/>
      <c r="I41" s="172"/>
      <c r="J41" s="172"/>
      <c r="K41" s="258"/>
    </row>
    <row r="42" spans="1:11" ht="38.25">
      <c r="A42" s="257" t="s">
        <v>87</v>
      </c>
      <c r="B42" s="170" t="s">
        <v>88</v>
      </c>
      <c r="C42" s="186" t="s">
        <v>43</v>
      </c>
      <c r="D42" s="186" t="s">
        <v>89</v>
      </c>
      <c r="E42" s="171" t="s">
        <v>80</v>
      </c>
      <c r="F42" s="170">
        <v>5678.09</v>
      </c>
      <c r="G42" s="172"/>
      <c r="H42" s="194"/>
      <c r="I42" s="172"/>
      <c r="J42" s="172"/>
      <c r="K42" s="258"/>
    </row>
    <row r="43" spans="1:11" ht="38.25">
      <c r="A43" s="257" t="s">
        <v>90</v>
      </c>
      <c r="B43" s="170" t="s">
        <v>91</v>
      </c>
      <c r="C43" s="186" t="s">
        <v>43</v>
      </c>
      <c r="D43" s="186" t="s">
        <v>92</v>
      </c>
      <c r="E43" s="171" t="s">
        <v>80</v>
      </c>
      <c r="F43" s="170">
        <v>6088.18</v>
      </c>
      <c r="G43" s="172"/>
      <c r="H43" s="194"/>
      <c r="I43" s="172"/>
      <c r="J43" s="172"/>
      <c r="K43" s="258"/>
    </row>
    <row r="44" spans="1:11" ht="38.25">
      <c r="A44" s="257" t="s">
        <v>93</v>
      </c>
      <c r="B44" s="170" t="s">
        <v>94</v>
      </c>
      <c r="C44" s="186" t="s">
        <v>43</v>
      </c>
      <c r="D44" s="186" t="s">
        <v>95</v>
      </c>
      <c r="E44" s="171" t="s">
        <v>80</v>
      </c>
      <c r="F44" s="170">
        <v>5622.82</v>
      </c>
      <c r="G44" s="172"/>
      <c r="H44" s="194"/>
      <c r="I44" s="172"/>
      <c r="J44" s="172"/>
      <c r="K44" s="258"/>
    </row>
    <row r="45" spans="1:11" ht="38.25">
      <c r="A45" s="257" t="s">
        <v>96</v>
      </c>
      <c r="B45" s="170" t="s">
        <v>97</v>
      </c>
      <c r="C45" s="186" t="s">
        <v>43</v>
      </c>
      <c r="D45" s="186" t="s">
        <v>98</v>
      </c>
      <c r="E45" s="171" t="s">
        <v>80</v>
      </c>
      <c r="F45" s="170">
        <v>9941.91</v>
      </c>
      <c r="G45" s="172"/>
      <c r="H45" s="194"/>
      <c r="I45" s="172"/>
      <c r="J45" s="172"/>
      <c r="K45" s="258"/>
    </row>
    <row r="46" spans="1:11" ht="51">
      <c r="A46" s="257" t="s">
        <v>99</v>
      </c>
      <c r="B46" s="170" t="s">
        <v>100</v>
      </c>
      <c r="C46" s="186" t="s">
        <v>43</v>
      </c>
      <c r="D46" s="186" t="s">
        <v>101</v>
      </c>
      <c r="E46" s="171" t="s">
        <v>45</v>
      </c>
      <c r="F46" s="170">
        <v>1616.43</v>
      </c>
      <c r="G46" s="172"/>
      <c r="H46" s="194"/>
      <c r="I46" s="172"/>
      <c r="J46" s="172"/>
      <c r="K46" s="258"/>
    </row>
    <row r="47" spans="1:11" ht="38.25">
      <c r="A47" s="257" t="s">
        <v>102</v>
      </c>
      <c r="B47" s="170" t="s">
        <v>103</v>
      </c>
      <c r="C47" s="186" t="s">
        <v>43</v>
      </c>
      <c r="D47" s="186" t="s">
        <v>104</v>
      </c>
      <c r="E47" s="171" t="s">
        <v>45</v>
      </c>
      <c r="F47" s="170">
        <v>2879.38</v>
      </c>
      <c r="G47" s="172"/>
      <c r="H47" s="194"/>
      <c r="I47" s="172"/>
      <c r="J47" s="172"/>
      <c r="K47" s="258"/>
    </row>
    <row r="48" spans="1:11" ht="26.45" customHeight="1">
      <c r="A48" s="257" t="s">
        <v>105</v>
      </c>
      <c r="B48" s="170" t="s">
        <v>106</v>
      </c>
      <c r="C48" s="186" t="s">
        <v>43</v>
      </c>
      <c r="D48" s="186" t="s">
        <v>107</v>
      </c>
      <c r="E48" s="171" t="s">
        <v>80</v>
      </c>
      <c r="F48" s="170">
        <v>5587.91</v>
      </c>
      <c r="G48" s="172"/>
      <c r="H48" s="194"/>
      <c r="I48" s="172"/>
      <c r="J48" s="172"/>
      <c r="K48" s="258"/>
    </row>
    <row r="49" spans="1:11" ht="26.45" customHeight="1">
      <c r="A49" s="257" t="s">
        <v>108</v>
      </c>
      <c r="B49" s="170" t="s">
        <v>109</v>
      </c>
      <c r="C49" s="186" t="s">
        <v>43</v>
      </c>
      <c r="D49" s="186" t="s">
        <v>110</v>
      </c>
      <c r="E49" s="171" t="s">
        <v>80</v>
      </c>
      <c r="F49" s="170">
        <v>1601.55</v>
      </c>
      <c r="G49" s="172"/>
      <c r="H49" s="194"/>
      <c r="I49" s="172"/>
      <c r="J49" s="172"/>
      <c r="K49" s="258"/>
    </row>
    <row r="50" spans="1:11" ht="25.5">
      <c r="A50" s="257" t="s">
        <v>111</v>
      </c>
      <c r="B50" s="170" t="s">
        <v>112</v>
      </c>
      <c r="C50" s="186" t="s">
        <v>43</v>
      </c>
      <c r="D50" s="186" t="s">
        <v>113</v>
      </c>
      <c r="E50" s="171" t="s">
        <v>80</v>
      </c>
      <c r="F50" s="170">
        <v>1597.91</v>
      </c>
      <c r="G50" s="172"/>
      <c r="H50" s="194"/>
      <c r="I50" s="172"/>
      <c r="J50" s="172"/>
      <c r="K50" s="258"/>
    </row>
    <row r="51" spans="1:11" ht="25.5">
      <c r="A51" s="257" t="s">
        <v>114</v>
      </c>
      <c r="B51" s="170" t="s">
        <v>115</v>
      </c>
      <c r="C51" s="186" t="s">
        <v>43</v>
      </c>
      <c r="D51" s="186" t="s">
        <v>116</v>
      </c>
      <c r="E51" s="171" t="s">
        <v>80</v>
      </c>
      <c r="F51" s="170">
        <v>10536.64</v>
      </c>
      <c r="G51" s="172"/>
      <c r="H51" s="194"/>
      <c r="I51" s="172"/>
      <c r="J51" s="172"/>
      <c r="K51" s="258"/>
    </row>
    <row r="52" spans="1:11" ht="25.5">
      <c r="A52" s="257" t="s">
        <v>117</v>
      </c>
      <c r="B52" s="170" t="s">
        <v>118</v>
      </c>
      <c r="C52" s="186" t="s">
        <v>43</v>
      </c>
      <c r="D52" s="186" t="s">
        <v>119</v>
      </c>
      <c r="E52" s="171" t="s">
        <v>80</v>
      </c>
      <c r="F52" s="170">
        <v>859.75</v>
      </c>
      <c r="G52" s="172"/>
      <c r="H52" s="194"/>
      <c r="I52" s="172"/>
      <c r="J52" s="172"/>
      <c r="K52" s="258"/>
    </row>
    <row r="53" spans="1:11" ht="38.25">
      <c r="A53" s="257" t="s">
        <v>120</v>
      </c>
      <c r="B53" s="170" t="s">
        <v>121</v>
      </c>
      <c r="C53" s="186" t="s">
        <v>43</v>
      </c>
      <c r="D53" s="186" t="s">
        <v>122</v>
      </c>
      <c r="E53" s="171" t="s">
        <v>45</v>
      </c>
      <c r="F53" s="170">
        <v>2802.64</v>
      </c>
      <c r="G53" s="172"/>
      <c r="H53" s="194"/>
      <c r="I53" s="172"/>
      <c r="J53" s="172"/>
      <c r="K53" s="258"/>
    </row>
    <row r="54" spans="1:11" ht="38.25">
      <c r="A54" s="257" t="s">
        <v>123</v>
      </c>
      <c r="B54" s="170" t="s">
        <v>124</v>
      </c>
      <c r="C54" s="186" t="s">
        <v>34</v>
      </c>
      <c r="D54" s="186" t="s">
        <v>125</v>
      </c>
      <c r="E54" s="171" t="s">
        <v>126</v>
      </c>
      <c r="F54" s="170">
        <v>934.31</v>
      </c>
      <c r="G54" s="172"/>
      <c r="H54" s="194"/>
      <c r="I54" s="172"/>
      <c r="J54" s="172"/>
      <c r="K54" s="258"/>
    </row>
    <row r="55" spans="1:11" ht="51">
      <c r="A55" s="257" t="s">
        <v>127</v>
      </c>
      <c r="B55" s="170" t="s">
        <v>128</v>
      </c>
      <c r="C55" s="186" t="s">
        <v>34</v>
      </c>
      <c r="D55" s="186" t="s">
        <v>129</v>
      </c>
      <c r="E55" s="171" t="s">
        <v>80</v>
      </c>
      <c r="F55" s="170">
        <v>10703.57</v>
      </c>
      <c r="G55" s="172"/>
      <c r="H55" s="194"/>
      <c r="I55" s="172"/>
      <c r="J55" s="172"/>
      <c r="K55" s="258"/>
    </row>
    <row r="56" spans="1:11" ht="38.25">
      <c r="A56" s="257" t="s">
        <v>130</v>
      </c>
      <c r="B56" s="170" t="s">
        <v>131</v>
      </c>
      <c r="C56" s="186" t="s">
        <v>43</v>
      </c>
      <c r="D56" s="186" t="s">
        <v>132</v>
      </c>
      <c r="E56" s="171" t="s">
        <v>45</v>
      </c>
      <c r="F56" s="170">
        <v>333.8</v>
      </c>
      <c r="G56" s="172"/>
      <c r="H56" s="194"/>
      <c r="I56" s="172"/>
      <c r="J56" s="172"/>
      <c r="K56" s="258"/>
    </row>
    <row r="57" spans="1:11">
      <c r="A57" s="259" t="s">
        <v>133</v>
      </c>
      <c r="B57" s="187"/>
      <c r="C57" s="187"/>
      <c r="D57" s="187" t="s">
        <v>134</v>
      </c>
      <c r="E57" s="187"/>
      <c r="F57" s="169"/>
      <c r="G57" s="187"/>
      <c r="H57" s="193"/>
      <c r="I57" s="187"/>
      <c r="J57" s="168"/>
      <c r="K57" s="260"/>
    </row>
    <row r="58" spans="1:11" ht="38.25">
      <c r="A58" s="257" t="s">
        <v>135</v>
      </c>
      <c r="B58" s="170" t="s">
        <v>136</v>
      </c>
      <c r="C58" s="186" t="s">
        <v>43</v>
      </c>
      <c r="D58" s="186" t="s">
        <v>137</v>
      </c>
      <c r="E58" s="171" t="s">
        <v>45</v>
      </c>
      <c r="F58" s="170">
        <v>3829.6</v>
      </c>
      <c r="G58" s="172"/>
      <c r="H58" s="194"/>
      <c r="I58" s="172"/>
      <c r="J58" s="172"/>
      <c r="K58" s="258"/>
    </row>
    <row r="59" spans="1:11" ht="38.25">
      <c r="A59" s="257" t="s">
        <v>138</v>
      </c>
      <c r="B59" s="170" t="s">
        <v>139</v>
      </c>
      <c r="C59" s="186" t="s">
        <v>43</v>
      </c>
      <c r="D59" s="186" t="s">
        <v>140</v>
      </c>
      <c r="E59" s="171" t="s">
        <v>45</v>
      </c>
      <c r="F59" s="170">
        <v>46.44</v>
      </c>
      <c r="G59" s="172"/>
      <c r="H59" s="194"/>
      <c r="I59" s="172"/>
      <c r="J59" s="172"/>
      <c r="K59" s="258"/>
    </row>
    <row r="60" spans="1:11" ht="25.5">
      <c r="A60" s="257" t="s">
        <v>141</v>
      </c>
      <c r="B60" s="170" t="s">
        <v>142</v>
      </c>
      <c r="C60" s="186" t="s">
        <v>43</v>
      </c>
      <c r="D60" s="186" t="s">
        <v>143</v>
      </c>
      <c r="E60" s="171" t="s">
        <v>144</v>
      </c>
      <c r="F60" s="170">
        <v>114.15</v>
      </c>
      <c r="G60" s="172"/>
      <c r="H60" s="194"/>
      <c r="I60" s="172"/>
      <c r="J60" s="172"/>
      <c r="K60" s="258"/>
    </row>
    <row r="61" spans="1:11" ht="25.5">
      <c r="A61" s="257" t="s">
        <v>145</v>
      </c>
      <c r="B61" s="170" t="s">
        <v>146</v>
      </c>
      <c r="C61" s="186" t="s">
        <v>43</v>
      </c>
      <c r="D61" s="186" t="s">
        <v>147</v>
      </c>
      <c r="E61" s="171" t="s">
        <v>144</v>
      </c>
      <c r="F61" s="170">
        <v>403.5</v>
      </c>
      <c r="G61" s="172"/>
      <c r="H61" s="194"/>
      <c r="I61" s="172"/>
      <c r="J61" s="172"/>
      <c r="K61" s="258"/>
    </row>
    <row r="62" spans="1:11">
      <c r="A62" s="257" t="s">
        <v>148</v>
      </c>
      <c r="B62" s="170" t="s">
        <v>149</v>
      </c>
      <c r="C62" s="186" t="s">
        <v>43</v>
      </c>
      <c r="D62" s="186" t="s">
        <v>150</v>
      </c>
      <c r="E62" s="171" t="s">
        <v>144</v>
      </c>
      <c r="F62" s="170">
        <v>22.05</v>
      </c>
      <c r="G62" s="172"/>
      <c r="H62" s="194"/>
      <c r="I62" s="172"/>
      <c r="J62" s="172"/>
      <c r="K62" s="258"/>
    </row>
    <row r="63" spans="1:11">
      <c r="A63" s="257" t="s">
        <v>151</v>
      </c>
      <c r="B63" s="170" t="s">
        <v>152</v>
      </c>
      <c r="C63" s="186" t="s">
        <v>43</v>
      </c>
      <c r="D63" s="186" t="s">
        <v>153</v>
      </c>
      <c r="E63" s="171" t="s">
        <v>144</v>
      </c>
      <c r="F63" s="170">
        <v>433.8</v>
      </c>
      <c r="G63" s="172"/>
      <c r="H63" s="194"/>
      <c r="I63" s="172"/>
      <c r="J63" s="172"/>
      <c r="K63" s="258"/>
    </row>
    <row r="64" spans="1:11" ht="25.5">
      <c r="A64" s="257" t="s">
        <v>154</v>
      </c>
      <c r="B64" s="170" t="s">
        <v>155</v>
      </c>
      <c r="C64" s="186" t="s">
        <v>43</v>
      </c>
      <c r="D64" s="186" t="s">
        <v>156</v>
      </c>
      <c r="E64" s="171" t="s">
        <v>144</v>
      </c>
      <c r="F64" s="170">
        <v>128.33000000000001</v>
      </c>
      <c r="G64" s="172"/>
      <c r="H64" s="194"/>
      <c r="I64" s="172"/>
      <c r="J64" s="172"/>
      <c r="K64" s="258"/>
    </row>
    <row r="65" spans="1:11">
      <c r="A65" s="259" t="s">
        <v>157</v>
      </c>
      <c r="B65" s="187"/>
      <c r="C65" s="187"/>
      <c r="D65" s="187" t="s">
        <v>158</v>
      </c>
      <c r="E65" s="187"/>
      <c r="F65" s="169"/>
      <c r="G65" s="187"/>
      <c r="H65" s="193"/>
      <c r="I65" s="187"/>
      <c r="J65" s="168"/>
      <c r="K65" s="260"/>
    </row>
    <row r="66" spans="1:11" ht="38.25">
      <c r="A66" s="257" t="s">
        <v>159</v>
      </c>
      <c r="B66" s="170" t="s">
        <v>160</v>
      </c>
      <c r="C66" s="186" t="s">
        <v>43</v>
      </c>
      <c r="D66" s="186" t="s">
        <v>161</v>
      </c>
      <c r="E66" s="171" t="s">
        <v>144</v>
      </c>
      <c r="F66" s="170">
        <v>104.42</v>
      </c>
      <c r="G66" s="172"/>
      <c r="H66" s="194"/>
      <c r="I66" s="172"/>
      <c r="J66" s="172"/>
      <c r="K66" s="258"/>
    </row>
    <row r="67" spans="1:11" ht="38.25">
      <c r="A67" s="257" t="s">
        <v>162</v>
      </c>
      <c r="B67" s="170" t="s">
        <v>163</v>
      </c>
      <c r="C67" s="186" t="s">
        <v>43</v>
      </c>
      <c r="D67" s="186" t="s">
        <v>164</v>
      </c>
      <c r="E67" s="171" t="s">
        <v>144</v>
      </c>
      <c r="F67" s="170">
        <v>22.55</v>
      </c>
      <c r="G67" s="172"/>
      <c r="H67" s="194"/>
      <c r="I67" s="172"/>
      <c r="J67" s="172"/>
      <c r="K67" s="258"/>
    </row>
    <row r="68" spans="1:11" ht="38.25">
      <c r="A68" s="257" t="s">
        <v>165</v>
      </c>
      <c r="B68" s="170" t="s">
        <v>166</v>
      </c>
      <c r="C68" s="186" t="s">
        <v>43</v>
      </c>
      <c r="D68" s="186" t="s">
        <v>167</v>
      </c>
      <c r="E68" s="171" t="s">
        <v>144</v>
      </c>
      <c r="F68" s="170">
        <v>95.64</v>
      </c>
      <c r="G68" s="172"/>
      <c r="H68" s="194"/>
      <c r="I68" s="172"/>
      <c r="J68" s="172"/>
      <c r="K68" s="258"/>
    </row>
    <row r="69" spans="1:11" ht="39.6" customHeight="1">
      <c r="A69" s="257" t="s">
        <v>168</v>
      </c>
      <c r="B69" s="170" t="s">
        <v>169</v>
      </c>
      <c r="C69" s="186" t="s">
        <v>43</v>
      </c>
      <c r="D69" s="186" t="s">
        <v>170</v>
      </c>
      <c r="E69" s="171" t="s">
        <v>144</v>
      </c>
      <c r="F69" s="170">
        <v>319.39</v>
      </c>
      <c r="G69" s="172"/>
      <c r="H69" s="194"/>
      <c r="I69" s="172"/>
      <c r="J69" s="172"/>
      <c r="K69" s="258"/>
    </row>
    <row r="70" spans="1:11">
      <c r="A70" s="257" t="s">
        <v>171</v>
      </c>
      <c r="B70" s="170" t="s">
        <v>172</v>
      </c>
      <c r="C70" s="186" t="s">
        <v>34</v>
      </c>
      <c r="D70" s="186" t="s">
        <v>173</v>
      </c>
      <c r="E70" s="171" t="s">
        <v>144</v>
      </c>
      <c r="F70" s="170">
        <v>34.25</v>
      </c>
      <c r="G70" s="172"/>
      <c r="H70" s="194"/>
      <c r="I70" s="172"/>
      <c r="J70" s="172"/>
      <c r="K70" s="258"/>
    </row>
    <row r="71" spans="1:11" ht="38.25">
      <c r="A71" s="257" t="s">
        <v>174</v>
      </c>
      <c r="B71" s="170" t="s">
        <v>175</v>
      </c>
      <c r="C71" s="186" t="s">
        <v>34</v>
      </c>
      <c r="D71" s="186" t="s">
        <v>176</v>
      </c>
      <c r="E71" s="171" t="s">
        <v>45</v>
      </c>
      <c r="F71" s="170">
        <v>1257.26</v>
      </c>
      <c r="G71" s="172"/>
      <c r="H71" s="194"/>
      <c r="I71" s="172"/>
      <c r="J71" s="172"/>
      <c r="K71" s="258"/>
    </row>
    <row r="72" spans="1:11" ht="51">
      <c r="A72" s="257" t="s">
        <v>177</v>
      </c>
      <c r="B72" s="170" t="s">
        <v>178</v>
      </c>
      <c r="C72" s="186" t="s">
        <v>43</v>
      </c>
      <c r="D72" s="186" t="s">
        <v>179</v>
      </c>
      <c r="E72" s="171" t="s">
        <v>45</v>
      </c>
      <c r="F72" s="170">
        <v>474.01</v>
      </c>
      <c r="G72" s="172"/>
      <c r="H72" s="194"/>
      <c r="I72" s="172"/>
      <c r="J72" s="172"/>
      <c r="K72" s="258"/>
    </row>
    <row r="73" spans="1:11" ht="51">
      <c r="A73" s="257" t="s">
        <v>180</v>
      </c>
      <c r="B73" s="170" t="s">
        <v>181</v>
      </c>
      <c r="C73" s="186" t="s">
        <v>43</v>
      </c>
      <c r="D73" s="186" t="s">
        <v>182</v>
      </c>
      <c r="E73" s="171" t="s">
        <v>45</v>
      </c>
      <c r="F73" s="170">
        <v>1257.26</v>
      </c>
      <c r="G73" s="172"/>
      <c r="H73" s="194"/>
      <c r="I73" s="172"/>
      <c r="J73" s="172"/>
      <c r="K73" s="258"/>
    </row>
    <row r="74" spans="1:11" ht="25.5">
      <c r="A74" s="257" t="s">
        <v>183</v>
      </c>
      <c r="B74" s="170" t="s">
        <v>184</v>
      </c>
      <c r="C74" s="186" t="s">
        <v>43</v>
      </c>
      <c r="D74" s="186" t="s">
        <v>185</v>
      </c>
      <c r="E74" s="171" t="s">
        <v>45</v>
      </c>
      <c r="F74" s="170">
        <v>474.01</v>
      </c>
      <c r="G74" s="172"/>
      <c r="H74" s="194"/>
      <c r="I74" s="172"/>
      <c r="J74" s="172"/>
      <c r="K74" s="258"/>
    </row>
    <row r="75" spans="1:11" ht="26.45" customHeight="1">
      <c r="A75" s="257" t="s">
        <v>186</v>
      </c>
      <c r="B75" s="170" t="s">
        <v>187</v>
      </c>
      <c r="C75" s="186" t="s">
        <v>43</v>
      </c>
      <c r="D75" s="186" t="s">
        <v>188</v>
      </c>
      <c r="E75" s="171" t="s">
        <v>144</v>
      </c>
      <c r="F75" s="170">
        <v>135.66</v>
      </c>
      <c r="G75" s="172"/>
      <c r="H75" s="194"/>
      <c r="I75" s="172"/>
      <c r="J75" s="172"/>
      <c r="K75" s="258"/>
    </row>
    <row r="76" spans="1:11">
      <c r="A76" s="259" t="s">
        <v>189</v>
      </c>
      <c r="B76" s="187"/>
      <c r="C76" s="187"/>
      <c r="D76" s="187" t="s">
        <v>190</v>
      </c>
      <c r="E76" s="187"/>
      <c r="F76" s="169"/>
      <c r="G76" s="187"/>
      <c r="H76" s="193"/>
      <c r="I76" s="187"/>
      <c r="J76" s="168"/>
      <c r="K76" s="260"/>
    </row>
    <row r="77" spans="1:11" ht="25.5">
      <c r="A77" s="257" t="s">
        <v>191</v>
      </c>
      <c r="B77" s="170" t="s">
        <v>192</v>
      </c>
      <c r="C77" s="186" t="s">
        <v>43</v>
      </c>
      <c r="D77" s="186" t="s">
        <v>193</v>
      </c>
      <c r="E77" s="171" t="s">
        <v>45</v>
      </c>
      <c r="F77" s="170">
        <v>276.31</v>
      </c>
      <c r="G77" s="172"/>
      <c r="H77" s="194"/>
      <c r="I77" s="172"/>
      <c r="J77" s="172"/>
      <c r="K77" s="258"/>
    </row>
    <row r="78" spans="1:11" ht="38.25">
      <c r="A78" s="257" t="s">
        <v>194</v>
      </c>
      <c r="B78" s="170" t="s">
        <v>195</v>
      </c>
      <c r="C78" s="186" t="s">
        <v>43</v>
      </c>
      <c r="D78" s="186" t="s">
        <v>196</v>
      </c>
      <c r="E78" s="171" t="s">
        <v>45</v>
      </c>
      <c r="F78" s="170">
        <v>424.15</v>
      </c>
      <c r="G78" s="172"/>
      <c r="H78" s="194"/>
      <c r="I78" s="172"/>
      <c r="J78" s="172"/>
      <c r="K78" s="258"/>
    </row>
    <row r="79" spans="1:11" ht="25.5">
      <c r="A79" s="257" t="s">
        <v>197</v>
      </c>
      <c r="B79" s="170" t="s">
        <v>198</v>
      </c>
      <c r="C79" s="186" t="s">
        <v>43</v>
      </c>
      <c r="D79" s="186" t="s">
        <v>199</v>
      </c>
      <c r="E79" s="171" t="s">
        <v>45</v>
      </c>
      <c r="F79" s="170">
        <v>424.15</v>
      </c>
      <c r="G79" s="172"/>
      <c r="H79" s="194"/>
      <c r="I79" s="172"/>
      <c r="J79" s="172"/>
      <c r="K79" s="258"/>
    </row>
    <row r="80" spans="1:11" ht="25.5">
      <c r="A80" s="257" t="s">
        <v>200</v>
      </c>
      <c r="B80" s="170" t="s">
        <v>201</v>
      </c>
      <c r="C80" s="186" t="s">
        <v>43</v>
      </c>
      <c r="D80" s="186" t="s">
        <v>202</v>
      </c>
      <c r="E80" s="171" t="s">
        <v>45</v>
      </c>
      <c r="F80" s="170">
        <v>3397.71</v>
      </c>
      <c r="G80" s="172"/>
      <c r="H80" s="194"/>
      <c r="I80" s="172"/>
      <c r="J80" s="172"/>
      <c r="K80" s="258"/>
    </row>
    <row r="81" spans="1:11">
      <c r="A81" s="259" t="s">
        <v>203</v>
      </c>
      <c r="B81" s="187"/>
      <c r="C81" s="187"/>
      <c r="D81" s="187" t="s">
        <v>204</v>
      </c>
      <c r="E81" s="187"/>
      <c r="F81" s="169"/>
      <c r="G81" s="187"/>
      <c r="H81" s="193"/>
      <c r="I81" s="187"/>
      <c r="J81" s="168"/>
      <c r="K81" s="260"/>
    </row>
    <row r="82" spans="1:11" ht="38.25">
      <c r="A82" s="257" t="s">
        <v>205</v>
      </c>
      <c r="B82" s="170" t="s">
        <v>206</v>
      </c>
      <c r="C82" s="186" t="s">
        <v>43</v>
      </c>
      <c r="D82" s="186" t="s">
        <v>207</v>
      </c>
      <c r="E82" s="171" t="s">
        <v>45</v>
      </c>
      <c r="F82" s="170">
        <v>1494.49</v>
      </c>
      <c r="G82" s="172"/>
      <c r="H82" s="194"/>
      <c r="I82" s="172"/>
      <c r="J82" s="172"/>
      <c r="K82" s="258"/>
    </row>
    <row r="83" spans="1:11" ht="25.5">
      <c r="A83" s="257" t="s">
        <v>208</v>
      </c>
      <c r="B83" s="170" t="s">
        <v>209</v>
      </c>
      <c r="C83" s="186" t="s">
        <v>43</v>
      </c>
      <c r="D83" s="186" t="s">
        <v>210</v>
      </c>
      <c r="E83" s="171" t="s">
        <v>45</v>
      </c>
      <c r="F83" s="170">
        <v>1494.49</v>
      </c>
      <c r="G83" s="172"/>
      <c r="H83" s="194"/>
      <c r="I83" s="172"/>
      <c r="J83" s="172"/>
      <c r="K83" s="258"/>
    </row>
    <row r="84" spans="1:11" ht="25.5">
      <c r="A84" s="257" t="s">
        <v>211</v>
      </c>
      <c r="B84" s="170" t="s">
        <v>212</v>
      </c>
      <c r="C84" s="186" t="s">
        <v>43</v>
      </c>
      <c r="D84" s="186" t="s">
        <v>213</v>
      </c>
      <c r="E84" s="171" t="s">
        <v>45</v>
      </c>
      <c r="F84" s="170">
        <v>1494.49</v>
      </c>
      <c r="G84" s="172"/>
      <c r="H84" s="194"/>
      <c r="I84" s="172"/>
      <c r="J84" s="172"/>
      <c r="K84" s="258"/>
    </row>
    <row r="85" spans="1:11" ht="51">
      <c r="A85" s="257" t="s">
        <v>214</v>
      </c>
      <c r="B85" s="170" t="s">
        <v>215</v>
      </c>
      <c r="C85" s="186" t="s">
        <v>43</v>
      </c>
      <c r="D85" s="186" t="s">
        <v>216</v>
      </c>
      <c r="E85" s="171" t="s">
        <v>45</v>
      </c>
      <c r="F85" s="170">
        <v>1949.91</v>
      </c>
      <c r="G85" s="172"/>
      <c r="H85" s="194"/>
      <c r="I85" s="172"/>
      <c r="J85" s="172"/>
      <c r="K85" s="258"/>
    </row>
    <row r="86" spans="1:11" ht="51">
      <c r="A86" s="257" t="s">
        <v>217</v>
      </c>
      <c r="B86" s="170" t="s">
        <v>218</v>
      </c>
      <c r="C86" s="186" t="s">
        <v>43</v>
      </c>
      <c r="D86" s="186" t="s">
        <v>219</v>
      </c>
      <c r="E86" s="171" t="s">
        <v>45</v>
      </c>
      <c r="F86" s="170">
        <v>310.72000000000003</v>
      </c>
      <c r="G86" s="172"/>
      <c r="H86" s="194"/>
      <c r="I86" s="172"/>
      <c r="J86" s="172"/>
      <c r="K86" s="258"/>
    </row>
    <row r="87" spans="1:11" ht="38.25">
      <c r="A87" s="257" t="s">
        <v>220</v>
      </c>
      <c r="B87" s="170" t="s">
        <v>221</v>
      </c>
      <c r="C87" s="186" t="s">
        <v>43</v>
      </c>
      <c r="D87" s="186" t="s">
        <v>222</v>
      </c>
      <c r="E87" s="171" t="s">
        <v>45</v>
      </c>
      <c r="F87" s="170">
        <v>33.68</v>
      </c>
      <c r="G87" s="172"/>
      <c r="H87" s="194"/>
      <c r="I87" s="172"/>
      <c r="J87" s="172"/>
      <c r="K87" s="258"/>
    </row>
    <row r="88" spans="1:11" ht="38.25">
      <c r="A88" s="257" t="s">
        <v>223</v>
      </c>
      <c r="B88" s="170" t="s">
        <v>224</v>
      </c>
      <c r="C88" s="186" t="s">
        <v>43</v>
      </c>
      <c r="D88" s="186" t="s">
        <v>225</v>
      </c>
      <c r="E88" s="171" t="s">
        <v>45</v>
      </c>
      <c r="F88" s="170">
        <v>12.14</v>
      </c>
      <c r="G88" s="172"/>
      <c r="H88" s="194"/>
      <c r="I88" s="172"/>
      <c r="J88" s="172"/>
      <c r="K88" s="258"/>
    </row>
    <row r="89" spans="1:11" ht="38.25">
      <c r="A89" s="257" t="s">
        <v>226</v>
      </c>
      <c r="B89" s="170" t="s">
        <v>227</v>
      </c>
      <c r="C89" s="186" t="s">
        <v>43</v>
      </c>
      <c r="D89" s="186" t="s">
        <v>228</v>
      </c>
      <c r="E89" s="171" t="s">
        <v>45</v>
      </c>
      <c r="F89" s="170">
        <v>122.08</v>
      </c>
      <c r="G89" s="172"/>
      <c r="H89" s="194"/>
      <c r="I89" s="172"/>
      <c r="J89" s="172"/>
      <c r="K89" s="258"/>
    </row>
    <row r="90" spans="1:11" ht="63.75">
      <c r="A90" s="257" t="s">
        <v>229</v>
      </c>
      <c r="B90" s="170" t="s">
        <v>230</v>
      </c>
      <c r="C90" s="186" t="s">
        <v>43</v>
      </c>
      <c r="D90" s="186" t="s">
        <v>231</v>
      </c>
      <c r="E90" s="171" t="s">
        <v>45</v>
      </c>
      <c r="F90" s="170">
        <v>2012.74</v>
      </c>
      <c r="G90" s="172"/>
      <c r="H90" s="194"/>
      <c r="I90" s="172"/>
      <c r="J90" s="172"/>
      <c r="K90" s="258"/>
    </row>
    <row r="91" spans="1:11" ht="25.5">
      <c r="A91" s="257" t="s">
        <v>232</v>
      </c>
      <c r="B91" s="170" t="s">
        <v>233</v>
      </c>
      <c r="C91" s="186" t="s">
        <v>43</v>
      </c>
      <c r="D91" s="186" t="s">
        <v>234</v>
      </c>
      <c r="E91" s="171" t="s">
        <v>144</v>
      </c>
      <c r="F91" s="170">
        <v>66.88</v>
      </c>
      <c r="G91" s="172"/>
      <c r="H91" s="194"/>
      <c r="I91" s="172"/>
      <c r="J91" s="172"/>
      <c r="K91" s="258"/>
    </row>
    <row r="92" spans="1:11" ht="25.5">
      <c r="A92" s="257" t="s">
        <v>235</v>
      </c>
      <c r="B92" s="170" t="s">
        <v>236</v>
      </c>
      <c r="C92" s="186" t="s">
        <v>43</v>
      </c>
      <c r="D92" s="186" t="s">
        <v>237</v>
      </c>
      <c r="E92" s="171" t="s">
        <v>144</v>
      </c>
      <c r="F92" s="170">
        <v>65.13</v>
      </c>
      <c r="G92" s="172"/>
      <c r="H92" s="194"/>
      <c r="I92" s="172"/>
      <c r="J92" s="172"/>
      <c r="K92" s="258"/>
    </row>
    <row r="93" spans="1:11" ht="38.25">
      <c r="A93" s="257" t="s">
        <v>238</v>
      </c>
      <c r="B93" s="170" t="s">
        <v>239</v>
      </c>
      <c r="C93" s="186" t="s">
        <v>43</v>
      </c>
      <c r="D93" s="186" t="s">
        <v>240</v>
      </c>
      <c r="E93" s="171" t="s">
        <v>45</v>
      </c>
      <c r="F93" s="170">
        <v>483.9</v>
      </c>
      <c r="G93" s="172"/>
      <c r="H93" s="194"/>
      <c r="I93" s="172"/>
      <c r="J93" s="172"/>
      <c r="K93" s="258"/>
    </row>
    <row r="94" spans="1:11" ht="25.5">
      <c r="A94" s="257" t="s">
        <v>241</v>
      </c>
      <c r="B94" s="170" t="s">
        <v>242</v>
      </c>
      <c r="C94" s="186" t="s">
        <v>43</v>
      </c>
      <c r="D94" s="186" t="s">
        <v>243</v>
      </c>
      <c r="E94" s="171" t="s">
        <v>45</v>
      </c>
      <c r="F94" s="170">
        <v>5.44</v>
      </c>
      <c r="G94" s="172"/>
      <c r="H94" s="194"/>
      <c r="I94" s="172"/>
      <c r="J94" s="172"/>
      <c r="K94" s="258"/>
    </row>
    <row r="95" spans="1:11">
      <c r="A95" s="257" t="s">
        <v>244</v>
      </c>
      <c r="B95" s="170" t="s">
        <v>245</v>
      </c>
      <c r="C95" s="186" t="s">
        <v>43</v>
      </c>
      <c r="D95" s="186" t="s">
        <v>246</v>
      </c>
      <c r="E95" s="171" t="s">
        <v>45</v>
      </c>
      <c r="F95" s="170">
        <v>174</v>
      </c>
      <c r="G95" s="172"/>
      <c r="H95" s="194"/>
      <c r="I95" s="172"/>
      <c r="J95" s="172"/>
      <c r="K95" s="258"/>
    </row>
    <row r="96" spans="1:11" ht="25.5">
      <c r="A96" s="257" t="s">
        <v>247</v>
      </c>
      <c r="B96" s="170" t="s">
        <v>248</v>
      </c>
      <c r="C96" s="186" t="s">
        <v>43</v>
      </c>
      <c r="D96" s="186" t="s">
        <v>249</v>
      </c>
      <c r="E96" s="171" t="s">
        <v>45</v>
      </c>
      <c r="F96" s="170">
        <v>509.19</v>
      </c>
      <c r="G96" s="172"/>
      <c r="H96" s="194"/>
      <c r="I96" s="172"/>
      <c r="J96" s="172"/>
      <c r="K96" s="258"/>
    </row>
    <row r="97" spans="1:11">
      <c r="A97" s="257" t="s">
        <v>250</v>
      </c>
      <c r="B97" s="170" t="s">
        <v>251</v>
      </c>
      <c r="C97" s="186" t="s">
        <v>43</v>
      </c>
      <c r="D97" s="186" t="s">
        <v>252</v>
      </c>
      <c r="E97" s="171" t="s">
        <v>144</v>
      </c>
      <c r="F97" s="170">
        <v>142.69</v>
      </c>
      <c r="G97" s="172"/>
      <c r="H97" s="194"/>
      <c r="I97" s="172"/>
      <c r="J97" s="172"/>
      <c r="K97" s="258"/>
    </row>
    <row r="98" spans="1:11">
      <c r="A98" s="257" t="s">
        <v>253</v>
      </c>
      <c r="B98" s="170" t="s">
        <v>254</v>
      </c>
      <c r="C98" s="186" t="s">
        <v>43</v>
      </c>
      <c r="D98" s="186" t="s">
        <v>255</v>
      </c>
      <c r="E98" s="171" t="s">
        <v>144</v>
      </c>
      <c r="F98" s="170">
        <v>446.17</v>
      </c>
      <c r="G98" s="172"/>
      <c r="H98" s="194"/>
      <c r="I98" s="172"/>
      <c r="J98" s="172"/>
      <c r="K98" s="258"/>
    </row>
    <row r="99" spans="1:11">
      <c r="A99" s="259" t="s">
        <v>256</v>
      </c>
      <c r="B99" s="187"/>
      <c r="C99" s="187"/>
      <c r="D99" s="187" t="s">
        <v>257</v>
      </c>
      <c r="E99" s="187"/>
      <c r="F99" s="169"/>
      <c r="G99" s="187"/>
      <c r="H99" s="193"/>
      <c r="I99" s="187"/>
      <c r="J99" s="168"/>
      <c r="K99" s="260"/>
    </row>
    <row r="100" spans="1:11" ht="38.25">
      <c r="A100" s="257" t="s">
        <v>258</v>
      </c>
      <c r="B100" s="170" t="s">
        <v>259</v>
      </c>
      <c r="C100" s="186" t="s">
        <v>43</v>
      </c>
      <c r="D100" s="186" t="s">
        <v>260</v>
      </c>
      <c r="E100" s="171" t="s">
        <v>45</v>
      </c>
      <c r="F100" s="170">
        <v>4372.8</v>
      </c>
      <c r="G100" s="172"/>
      <c r="H100" s="194"/>
      <c r="I100" s="172"/>
      <c r="J100" s="172"/>
      <c r="K100" s="258"/>
    </row>
    <row r="101" spans="1:11" ht="51">
      <c r="A101" s="257" t="s">
        <v>261</v>
      </c>
      <c r="B101" s="170" t="s">
        <v>262</v>
      </c>
      <c r="C101" s="186" t="s">
        <v>43</v>
      </c>
      <c r="D101" s="186" t="s">
        <v>263</v>
      </c>
      <c r="E101" s="171" t="s">
        <v>45</v>
      </c>
      <c r="F101" s="170">
        <v>4324.01</v>
      </c>
      <c r="G101" s="172"/>
      <c r="H101" s="194"/>
      <c r="I101" s="172"/>
      <c r="J101" s="172"/>
      <c r="K101" s="258"/>
    </row>
    <row r="102" spans="1:11" ht="51">
      <c r="A102" s="257" t="s">
        <v>264</v>
      </c>
      <c r="B102" s="170" t="s">
        <v>265</v>
      </c>
      <c r="C102" s="186" t="s">
        <v>43</v>
      </c>
      <c r="D102" s="186" t="s">
        <v>266</v>
      </c>
      <c r="E102" s="171" t="s">
        <v>45</v>
      </c>
      <c r="F102" s="170">
        <v>4372.8</v>
      </c>
      <c r="G102" s="172"/>
      <c r="H102" s="194"/>
      <c r="I102" s="172"/>
      <c r="J102" s="172"/>
      <c r="K102" s="258"/>
    </row>
    <row r="103" spans="1:11" ht="51">
      <c r="A103" s="257" t="s">
        <v>267</v>
      </c>
      <c r="B103" s="170" t="s">
        <v>268</v>
      </c>
      <c r="C103" s="186" t="s">
        <v>43</v>
      </c>
      <c r="D103" s="186" t="s">
        <v>269</v>
      </c>
      <c r="E103" s="171" t="s">
        <v>45</v>
      </c>
      <c r="F103" s="170">
        <v>4324.01</v>
      </c>
      <c r="G103" s="172"/>
      <c r="H103" s="194"/>
      <c r="I103" s="172"/>
      <c r="J103" s="172"/>
      <c r="K103" s="258"/>
    </row>
    <row r="104" spans="1:11" ht="51">
      <c r="A104" s="257" t="s">
        <v>270</v>
      </c>
      <c r="B104" s="170" t="s">
        <v>271</v>
      </c>
      <c r="C104" s="186" t="s">
        <v>43</v>
      </c>
      <c r="D104" s="186" t="s">
        <v>272</v>
      </c>
      <c r="E104" s="171" t="s">
        <v>45</v>
      </c>
      <c r="F104" s="170">
        <v>732.5</v>
      </c>
      <c r="G104" s="172"/>
      <c r="H104" s="194"/>
      <c r="I104" s="172"/>
      <c r="J104" s="172"/>
      <c r="K104" s="258"/>
    </row>
    <row r="105" spans="1:11" ht="25.5">
      <c r="A105" s="257" t="s">
        <v>273</v>
      </c>
      <c r="B105" s="170" t="s">
        <v>274</v>
      </c>
      <c r="C105" s="186" t="s">
        <v>34</v>
      </c>
      <c r="D105" s="186" t="s">
        <v>275</v>
      </c>
      <c r="E105" s="171" t="s">
        <v>276</v>
      </c>
      <c r="F105" s="170">
        <v>4350.32</v>
      </c>
      <c r="G105" s="172"/>
      <c r="H105" s="194"/>
      <c r="I105" s="172"/>
      <c r="J105" s="172"/>
      <c r="K105" s="258"/>
    </row>
    <row r="106" spans="1:11" ht="25.5">
      <c r="A106" s="257" t="s">
        <v>277</v>
      </c>
      <c r="B106" s="170" t="s">
        <v>278</v>
      </c>
      <c r="C106" s="186" t="s">
        <v>34</v>
      </c>
      <c r="D106" s="186" t="s">
        <v>279</v>
      </c>
      <c r="E106" s="171" t="s">
        <v>276</v>
      </c>
      <c r="F106" s="170">
        <v>440.72</v>
      </c>
      <c r="G106" s="172"/>
      <c r="H106" s="194"/>
      <c r="I106" s="172"/>
      <c r="J106" s="172"/>
      <c r="K106" s="258"/>
    </row>
    <row r="107" spans="1:11">
      <c r="A107" s="257" t="s">
        <v>280</v>
      </c>
      <c r="B107" s="170" t="s">
        <v>281</v>
      </c>
      <c r="C107" s="186" t="s">
        <v>34</v>
      </c>
      <c r="D107" s="186" t="s">
        <v>282</v>
      </c>
      <c r="E107" s="171" t="s">
        <v>276</v>
      </c>
      <c r="F107" s="170">
        <v>98.93</v>
      </c>
      <c r="G107" s="172"/>
      <c r="H107" s="194"/>
      <c r="I107" s="172"/>
      <c r="J107" s="172"/>
      <c r="K107" s="258"/>
    </row>
    <row r="108" spans="1:11" ht="25.5">
      <c r="A108" s="257" t="s">
        <v>283</v>
      </c>
      <c r="B108" s="170" t="s">
        <v>284</v>
      </c>
      <c r="C108" s="186" t="s">
        <v>34</v>
      </c>
      <c r="D108" s="186" t="s">
        <v>285</v>
      </c>
      <c r="E108" s="171" t="s">
        <v>45</v>
      </c>
      <c r="F108" s="170">
        <v>273.57</v>
      </c>
      <c r="G108" s="172"/>
      <c r="H108" s="194"/>
      <c r="I108" s="172"/>
      <c r="J108" s="172"/>
      <c r="K108" s="258"/>
    </row>
    <row r="109" spans="1:11">
      <c r="A109" s="257" t="s">
        <v>286</v>
      </c>
      <c r="B109" s="170" t="s">
        <v>287</v>
      </c>
      <c r="C109" s="186" t="s">
        <v>34</v>
      </c>
      <c r="D109" s="186" t="s">
        <v>288</v>
      </c>
      <c r="E109" s="171" t="s">
        <v>45</v>
      </c>
      <c r="F109" s="170">
        <v>273.57</v>
      </c>
      <c r="G109" s="172"/>
      <c r="H109" s="194"/>
      <c r="I109" s="172"/>
      <c r="J109" s="172"/>
      <c r="K109" s="258"/>
    </row>
    <row r="110" spans="1:11" ht="25.5">
      <c r="A110" s="257" t="s">
        <v>289</v>
      </c>
      <c r="B110" s="170" t="s">
        <v>290</v>
      </c>
      <c r="C110" s="186" t="s">
        <v>34</v>
      </c>
      <c r="D110" s="186" t="s">
        <v>291</v>
      </c>
      <c r="E110" s="171" t="s">
        <v>292</v>
      </c>
      <c r="F110" s="170">
        <v>1281.56</v>
      </c>
      <c r="G110" s="172"/>
      <c r="H110" s="194"/>
      <c r="I110" s="172"/>
      <c r="J110" s="172"/>
      <c r="K110" s="258"/>
    </row>
    <row r="111" spans="1:11">
      <c r="A111" s="259" t="s">
        <v>293</v>
      </c>
      <c r="B111" s="187"/>
      <c r="C111" s="187"/>
      <c r="D111" s="187" t="s">
        <v>294</v>
      </c>
      <c r="E111" s="187"/>
      <c r="F111" s="169"/>
      <c r="G111" s="187"/>
      <c r="H111" s="193"/>
      <c r="I111" s="187"/>
      <c r="J111" s="168"/>
      <c r="K111" s="260"/>
    </row>
    <row r="112" spans="1:11" ht="25.5">
      <c r="A112" s="257" t="s">
        <v>295</v>
      </c>
      <c r="B112" s="170" t="s">
        <v>296</v>
      </c>
      <c r="C112" s="186" t="s">
        <v>43</v>
      </c>
      <c r="D112" s="186" t="s">
        <v>297</v>
      </c>
      <c r="E112" s="171" t="s">
        <v>45</v>
      </c>
      <c r="F112" s="170">
        <v>1703.74</v>
      </c>
      <c r="G112" s="172"/>
      <c r="H112" s="194"/>
      <c r="I112" s="172"/>
      <c r="J112" s="172"/>
      <c r="K112" s="258"/>
    </row>
    <row r="113" spans="1:11" ht="25.5">
      <c r="A113" s="257" t="s">
        <v>298</v>
      </c>
      <c r="B113" s="170" t="s">
        <v>299</v>
      </c>
      <c r="C113" s="186" t="s">
        <v>43</v>
      </c>
      <c r="D113" s="186" t="s">
        <v>300</v>
      </c>
      <c r="E113" s="171" t="s">
        <v>45</v>
      </c>
      <c r="F113" s="170">
        <v>509.19</v>
      </c>
      <c r="G113" s="172"/>
      <c r="H113" s="194"/>
      <c r="I113" s="172"/>
      <c r="J113" s="172"/>
      <c r="K113" s="258"/>
    </row>
    <row r="114" spans="1:11">
      <c r="A114" s="259" t="s">
        <v>301</v>
      </c>
      <c r="B114" s="187"/>
      <c r="C114" s="187"/>
      <c r="D114" s="187" t="s">
        <v>302</v>
      </c>
      <c r="E114" s="187"/>
      <c r="F114" s="169"/>
      <c r="G114" s="187"/>
      <c r="H114" s="193"/>
      <c r="I114" s="187"/>
      <c r="J114" s="168"/>
      <c r="K114" s="260"/>
    </row>
    <row r="115" spans="1:11" ht="63.75">
      <c r="A115" s="257" t="s">
        <v>303</v>
      </c>
      <c r="B115" s="170" t="s">
        <v>304</v>
      </c>
      <c r="C115" s="186" t="s">
        <v>43</v>
      </c>
      <c r="D115" s="186" t="s">
        <v>305</v>
      </c>
      <c r="E115" s="171" t="s">
        <v>36</v>
      </c>
      <c r="F115" s="170">
        <v>17</v>
      </c>
      <c r="G115" s="172"/>
      <c r="H115" s="194"/>
      <c r="I115" s="172"/>
      <c r="J115" s="172"/>
      <c r="K115" s="258"/>
    </row>
    <row r="116" spans="1:11" ht="38.25">
      <c r="A116" s="257" t="s">
        <v>306</v>
      </c>
      <c r="B116" s="170" t="s">
        <v>307</v>
      </c>
      <c r="C116" s="186" t="s">
        <v>43</v>
      </c>
      <c r="D116" s="186" t="s">
        <v>308</v>
      </c>
      <c r="E116" s="171" t="s">
        <v>36</v>
      </c>
      <c r="F116" s="170">
        <v>34.56</v>
      </c>
      <c r="G116" s="172"/>
      <c r="H116" s="194"/>
      <c r="I116" s="172"/>
      <c r="J116" s="172"/>
      <c r="K116" s="258"/>
    </row>
    <row r="117" spans="1:11" ht="25.5">
      <c r="A117" s="257" t="s">
        <v>309</v>
      </c>
      <c r="B117" s="170" t="s">
        <v>310</v>
      </c>
      <c r="C117" s="186" t="s">
        <v>34</v>
      </c>
      <c r="D117" s="186" t="s">
        <v>311</v>
      </c>
      <c r="E117" s="171" t="s">
        <v>31</v>
      </c>
      <c r="F117" s="170">
        <v>19</v>
      </c>
      <c r="G117" s="172"/>
      <c r="H117" s="194"/>
      <c r="I117" s="172"/>
      <c r="J117" s="172"/>
      <c r="K117" s="258"/>
    </row>
    <row r="118" spans="1:11" ht="25.5">
      <c r="A118" s="257" t="s">
        <v>312</v>
      </c>
      <c r="B118" s="170" t="s">
        <v>313</v>
      </c>
      <c r="C118" s="186" t="s">
        <v>34</v>
      </c>
      <c r="D118" s="186" t="s">
        <v>314</v>
      </c>
      <c r="E118" s="171" t="s">
        <v>31</v>
      </c>
      <c r="F118" s="170">
        <v>1</v>
      </c>
      <c r="G118" s="172"/>
      <c r="H118" s="194"/>
      <c r="I118" s="172"/>
      <c r="J118" s="172"/>
      <c r="K118" s="258"/>
    </row>
    <row r="119" spans="1:11" ht="76.5">
      <c r="A119" s="257" t="s">
        <v>315</v>
      </c>
      <c r="B119" s="170" t="s">
        <v>316</v>
      </c>
      <c r="C119" s="186" t="s">
        <v>43</v>
      </c>
      <c r="D119" s="186" t="s">
        <v>317</v>
      </c>
      <c r="E119" s="171" t="s">
        <v>45</v>
      </c>
      <c r="F119" s="170">
        <v>2.52</v>
      </c>
      <c r="G119" s="172"/>
      <c r="H119" s="194"/>
      <c r="I119" s="172"/>
      <c r="J119" s="172"/>
      <c r="K119" s="258"/>
    </row>
    <row r="120" spans="1:11" ht="39.6" customHeight="1">
      <c r="A120" s="257" t="s">
        <v>318</v>
      </c>
      <c r="B120" s="170" t="s">
        <v>319</v>
      </c>
      <c r="C120" s="186" t="s">
        <v>34</v>
      </c>
      <c r="D120" s="186" t="s">
        <v>320</v>
      </c>
      <c r="E120" s="171" t="s">
        <v>45</v>
      </c>
      <c r="F120" s="170">
        <v>346.35</v>
      </c>
      <c r="G120" s="172"/>
      <c r="H120" s="194"/>
      <c r="I120" s="172"/>
      <c r="J120" s="172"/>
      <c r="K120" s="258"/>
    </row>
    <row r="121" spans="1:11" ht="25.5">
      <c r="A121" s="257" t="s">
        <v>321</v>
      </c>
      <c r="B121" s="170" t="s">
        <v>322</v>
      </c>
      <c r="C121" s="186" t="s">
        <v>43</v>
      </c>
      <c r="D121" s="186" t="s">
        <v>323</v>
      </c>
      <c r="E121" s="171" t="s">
        <v>36</v>
      </c>
      <c r="F121" s="170">
        <v>1</v>
      </c>
      <c r="G121" s="172"/>
      <c r="H121" s="194"/>
      <c r="I121" s="172"/>
      <c r="J121" s="172"/>
      <c r="K121" s="258"/>
    </row>
    <row r="122" spans="1:11" ht="38.25">
      <c r="A122" s="257" t="s">
        <v>324</v>
      </c>
      <c r="B122" s="170" t="s">
        <v>325</v>
      </c>
      <c r="C122" s="186" t="s">
        <v>34</v>
      </c>
      <c r="D122" s="186" t="s">
        <v>326</v>
      </c>
      <c r="E122" s="171" t="s">
        <v>31</v>
      </c>
      <c r="F122" s="170">
        <v>2</v>
      </c>
      <c r="G122" s="172"/>
      <c r="H122" s="194"/>
      <c r="I122" s="172"/>
      <c r="J122" s="172"/>
      <c r="K122" s="258"/>
    </row>
    <row r="123" spans="1:11" ht="38.25">
      <c r="A123" s="257" t="s">
        <v>327</v>
      </c>
      <c r="B123" s="170" t="s">
        <v>328</v>
      </c>
      <c r="C123" s="186" t="s">
        <v>34</v>
      </c>
      <c r="D123" s="186" t="s">
        <v>329</v>
      </c>
      <c r="E123" s="171" t="s">
        <v>31</v>
      </c>
      <c r="F123" s="170">
        <v>2</v>
      </c>
      <c r="G123" s="172"/>
      <c r="H123" s="194"/>
      <c r="I123" s="172"/>
      <c r="J123" s="172"/>
      <c r="K123" s="258"/>
    </row>
    <row r="124" spans="1:11" ht="38.25">
      <c r="A124" s="257" t="s">
        <v>330</v>
      </c>
      <c r="B124" s="170" t="s">
        <v>331</v>
      </c>
      <c r="C124" s="186" t="s">
        <v>43</v>
      </c>
      <c r="D124" s="186" t="s">
        <v>332</v>
      </c>
      <c r="E124" s="171" t="s">
        <v>45</v>
      </c>
      <c r="F124" s="170">
        <v>20.79</v>
      </c>
      <c r="G124" s="172"/>
      <c r="H124" s="194"/>
      <c r="I124" s="172"/>
      <c r="J124" s="172"/>
      <c r="K124" s="258"/>
    </row>
    <row r="125" spans="1:11" ht="25.5">
      <c r="A125" s="257" t="s">
        <v>333</v>
      </c>
      <c r="B125" s="170" t="s">
        <v>334</v>
      </c>
      <c r="C125" s="186" t="s">
        <v>43</v>
      </c>
      <c r="D125" s="186" t="s">
        <v>335</v>
      </c>
      <c r="E125" s="171" t="s">
        <v>144</v>
      </c>
      <c r="F125" s="170">
        <v>213.69</v>
      </c>
      <c r="G125" s="172"/>
      <c r="H125" s="194"/>
      <c r="I125" s="172"/>
      <c r="J125" s="172"/>
      <c r="K125" s="258"/>
    </row>
    <row r="126" spans="1:11" ht="51">
      <c r="A126" s="257" t="s">
        <v>336</v>
      </c>
      <c r="B126" s="170" t="s">
        <v>337</v>
      </c>
      <c r="C126" s="186" t="s">
        <v>43</v>
      </c>
      <c r="D126" s="186" t="s">
        <v>338</v>
      </c>
      <c r="E126" s="171" t="s">
        <v>144</v>
      </c>
      <c r="F126" s="170">
        <v>105.97</v>
      </c>
      <c r="G126" s="172"/>
      <c r="H126" s="194"/>
      <c r="I126" s="172"/>
      <c r="J126" s="172"/>
      <c r="K126" s="258"/>
    </row>
    <row r="127" spans="1:11" ht="38.25">
      <c r="A127" s="257" t="s">
        <v>339</v>
      </c>
      <c r="B127" s="170" t="s">
        <v>340</v>
      </c>
      <c r="C127" s="186" t="s">
        <v>43</v>
      </c>
      <c r="D127" s="186" t="s">
        <v>341</v>
      </c>
      <c r="E127" s="171" t="s">
        <v>45</v>
      </c>
      <c r="F127" s="170">
        <v>94.32</v>
      </c>
      <c r="G127" s="172"/>
      <c r="H127" s="194"/>
      <c r="I127" s="172"/>
      <c r="J127" s="172"/>
      <c r="K127" s="258"/>
    </row>
    <row r="128" spans="1:11" ht="25.5">
      <c r="A128" s="257" t="s">
        <v>342</v>
      </c>
      <c r="B128" s="170" t="s">
        <v>343</v>
      </c>
      <c r="C128" s="186" t="s">
        <v>43</v>
      </c>
      <c r="D128" s="186" t="s">
        <v>344</v>
      </c>
      <c r="E128" s="171" t="s">
        <v>45</v>
      </c>
      <c r="F128" s="170">
        <v>5.55</v>
      </c>
      <c r="G128" s="172"/>
      <c r="H128" s="194"/>
      <c r="I128" s="172"/>
      <c r="J128" s="172"/>
      <c r="K128" s="258"/>
    </row>
    <row r="129" spans="1:11" ht="38.25">
      <c r="A129" s="257" t="s">
        <v>345</v>
      </c>
      <c r="B129" s="170" t="s">
        <v>346</v>
      </c>
      <c r="C129" s="186" t="s">
        <v>34</v>
      </c>
      <c r="D129" s="186" t="s">
        <v>347</v>
      </c>
      <c r="E129" s="171" t="s">
        <v>36</v>
      </c>
      <c r="F129" s="170">
        <v>2</v>
      </c>
      <c r="G129" s="172"/>
      <c r="H129" s="194"/>
      <c r="I129" s="172"/>
      <c r="J129" s="172"/>
      <c r="K129" s="258"/>
    </row>
    <row r="130" spans="1:11">
      <c r="A130" s="259" t="s">
        <v>348</v>
      </c>
      <c r="B130" s="187"/>
      <c r="C130" s="187"/>
      <c r="D130" s="187" t="s">
        <v>349</v>
      </c>
      <c r="E130" s="187"/>
      <c r="F130" s="169"/>
      <c r="G130" s="187"/>
      <c r="H130" s="193"/>
      <c r="I130" s="187"/>
      <c r="J130" s="168"/>
      <c r="K130" s="260"/>
    </row>
    <row r="131" spans="1:11" ht="25.5">
      <c r="A131" s="257" t="s">
        <v>350</v>
      </c>
      <c r="B131" s="170" t="s">
        <v>351</v>
      </c>
      <c r="C131" s="186" t="s">
        <v>43</v>
      </c>
      <c r="D131" s="186" t="s">
        <v>352</v>
      </c>
      <c r="E131" s="171" t="s">
        <v>45</v>
      </c>
      <c r="F131" s="170">
        <v>3615.19</v>
      </c>
      <c r="G131" s="172"/>
      <c r="H131" s="194"/>
      <c r="I131" s="172"/>
      <c r="J131" s="172"/>
      <c r="K131" s="258"/>
    </row>
    <row r="132" spans="1:11" ht="25.5">
      <c r="A132" s="257" t="s">
        <v>353</v>
      </c>
      <c r="B132" s="170" t="s">
        <v>354</v>
      </c>
      <c r="C132" s="186" t="s">
        <v>43</v>
      </c>
      <c r="D132" s="186" t="s">
        <v>355</v>
      </c>
      <c r="E132" s="171" t="s">
        <v>45</v>
      </c>
      <c r="F132" s="170">
        <v>3615.19</v>
      </c>
      <c r="G132" s="172"/>
      <c r="H132" s="194"/>
      <c r="I132" s="172"/>
      <c r="J132" s="172"/>
      <c r="K132" s="258"/>
    </row>
    <row r="133" spans="1:11" ht="25.5">
      <c r="A133" s="257" t="s">
        <v>356</v>
      </c>
      <c r="B133" s="170" t="s">
        <v>357</v>
      </c>
      <c r="C133" s="186" t="s">
        <v>43</v>
      </c>
      <c r="D133" s="186" t="s">
        <v>358</v>
      </c>
      <c r="E133" s="171" t="s">
        <v>45</v>
      </c>
      <c r="F133" s="170">
        <v>3641.5</v>
      </c>
      <c r="G133" s="172"/>
      <c r="H133" s="194"/>
      <c r="I133" s="172"/>
      <c r="J133" s="172"/>
      <c r="K133" s="258"/>
    </row>
    <row r="134" spans="1:11" ht="25.5">
      <c r="A134" s="257" t="s">
        <v>359</v>
      </c>
      <c r="B134" s="170" t="s">
        <v>360</v>
      </c>
      <c r="C134" s="186" t="s">
        <v>43</v>
      </c>
      <c r="D134" s="186" t="s">
        <v>361</v>
      </c>
      <c r="E134" s="171" t="s">
        <v>45</v>
      </c>
      <c r="F134" s="170">
        <v>1702.28</v>
      </c>
      <c r="G134" s="172"/>
      <c r="H134" s="194"/>
      <c r="I134" s="172"/>
      <c r="J134" s="172"/>
      <c r="K134" s="258"/>
    </row>
    <row r="135" spans="1:11" ht="25.5">
      <c r="A135" s="257" t="s">
        <v>362</v>
      </c>
      <c r="B135" s="170" t="s">
        <v>363</v>
      </c>
      <c r="C135" s="186" t="s">
        <v>43</v>
      </c>
      <c r="D135" s="186" t="s">
        <v>364</v>
      </c>
      <c r="E135" s="171" t="s">
        <v>45</v>
      </c>
      <c r="F135" s="170">
        <v>1760.39</v>
      </c>
      <c r="G135" s="172"/>
      <c r="H135" s="194"/>
      <c r="I135" s="172"/>
      <c r="J135" s="172"/>
      <c r="K135" s="258"/>
    </row>
    <row r="136" spans="1:11" ht="25.5">
      <c r="A136" s="257" t="s">
        <v>365</v>
      </c>
      <c r="B136" s="170" t="s">
        <v>366</v>
      </c>
      <c r="C136" s="186" t="s">
        <v>43</v>
      </c>
      <c r="D136" s="186" t="s">
        <v>367</v>
      </c>
      <c r="E136" s="171" t="s">
        <v>45</v>
      </c>
      <c r="F136" s="170">
        <v>1760.39</v>
      </c>
      <c r="G136" s="172"/>
      <c r="H136" s="194"/>
      <c r="I136" s="172"/>
      <c r="J136" s="172"/>
      <c r="K136" s="258"/>
    </row>
    <row r="137" spans="1:11" ht="25.5">
      <c r="A137" s="257" t="s">
        <v>368</v>
      </c>
      <c r="B137" s="170" t="s">
        <v>369</v>
      </c>
      <c r="C137" s="186" t="s">
        <v>43</v>
      </c>
      <c r="D137" s="186" t="s">
        <v>370</v>
      </c>
      <c r="E137" s="171" t="s">
        <v>45</v>
      </c>
      <c r="F137" s="170">
        <v>64.260000000000005</v>
      </c>
      <c r="G137" s="172"/>
      <c r="H137" s="194"/>
      <c r="I137" s="172"/>
      <c r="J137" s="172"/>
      <c r="K137" s="258"/>
    </row>
    <row r="138" spans="1:11" ht="25.5">
      <c r="A138" s="257" t="s">
        <v>371</v>
      </c>
      <c r="B138" s="170" t="s">
        <v>372</v>
      </c>
      <c r="C138" s="186" t="s">
        <v>43</v>
      </c>
      <c r="D138" s="186" t="s">
        <v>373</v>
      </c>
      <c r="E138" s="171" t="s">
        <v>45</v>
      </c>
      <c r="F138" s="170">
        <v>121.2</v>
      </c>
      <c r="G138" s="172"/>
      <c r="H138" s="194"/>
      <c r="I138" s="172"/>
      <c r="J138" s="172"/>
      <c r="K138" s="258"/>
    </row>
    <row r="139" spans="1:11">
      <c r="A139" s="259" t="s">
        <v>374</v>
      </c>
      <c r="B139" s="187"/>
      <c r="C139" s="187"/>
      <c r="D139" s="187" t="s">
        <v>375</v>
      </c>
      <c r="E139" s="187"/>
      <c r="F139" s="169"/>
      <c r="G139" s="187"/>
      <c r="H139" s="193"/>
      <c r="I139" s="187"/>
      <c r="J139" s="168"/>
      <c r="K139" s="260"/>
    </row>
    <row r="140" spans="1:11" ht="25.5">
      <c r="A140" s="257" t="s">
        <v>376</v>
      </c>
      <c r="B140" s="170" t="s">
        <v>377</v>
      </c>
      <c r="C140" s="186" t="s">
        <v>43</v>
      </c>
      <c r="D140" s="186" t="s">
        <v>378</v>
      </c>
      <c r="E140" s="171" t="s">
        <v>36</v>
      </c>
      <c r="F140" s="170">
        <v>27</v>
      </c>
      <c r="G140" s="172"/>
      <c r="H140" s="194"/>
      <c r="I140" s="172"/>
      <c r="J140" s="172"/>
      <c r="K140" s="258"/>
    </row>
    <row r="141" spans="1:11" ht="38.25">
      <c r="A141" s="257" t="s">
        <v>379</v>
      </c>
      <c r="B141" s="170" t="s">
        <v>380</v>
      </c>
      <c r="C141" s="186" t="s">
        <v>43</v>
      </c>
      <c r="D141" s="186" t="s">
        <v>381</v>
      </c>
      <c r="E141" s="171" t="s">
        <v>36</v>
      </c>
      <c r="F141" s="170">
        <v>7</v>
      </c>
      <c r="G141" s="172"/>
      <c r="H141" s="194"/>
      <c r="I141" s="172"/>
      <c r="J141" s="172"/>
      <c r="K141" s="258"/>
    </row>
    <row r="142" spans="1:11" ht="25.5">
      <c r="A142" s="257" t="s">
        <v>382</v>
      </c>
      <c r="B142" s="170" t="s">
        <v>383</v>
      </c>
      <c r="C142" s="186" t="s">
        <v>43</v>
      </c>
      <c r="D142" s="186" t="s">
        <v>384</v>
      </c>
      <c r="E142" s="171" t="s">
        <v>36</v>
      </c>
      <c r="F142" s="170">
        <v>34</v>
      </c>
      <c r="G142" s="172"/>
      <c r="H142" s="194"/>
      <c r="I142" s="172"/>
      <c r="J142" s="172"/>
      <c r="K142" s="258"/>
    </row>
    <row r="143" spans="1:11" ht="25.5">
      <c r="A143" s="257" t="s">
        <v>385</v>
      </c>
      <c r="B143" s="170" t="s">
        <v>386</v>
      </c>
      <c r="C143" s="186" t="s">
        <v>43</v>
      </c>
      <c r="D143" s="186" t="s">
        <v>387</v>
      </c>
      <c r="E143" s="171" t="s">
        <v>36</v>
      </c>
      <c r="F143" s="170">
        <v>2</v>
      </c>
      <c r="G143" s="172"/>
      <c r="H143" s="194"/>
      <c r="I143" s="172"/>
      <c r="J143" s="172"/>
      <c r="K143" s="258"/>
    </row>
    <row r="144" spans="1:11" ht="51">
      <c r="A144" s="257" t="s">
        <v>388</v>
      </c>
      <c r="B144" s="170" t="s">
        <v>389</v>
      </c>
      <c r="C144" s="186" t="s">
        <v>34</v>
      </c>
      <c r="D144" s="186" t="s">
        <v>390</v>
      </c>
      <c r="E144" s="171" t="s">
        <v>31</v>
      </c>
      <c r="F144" s="170">
        <v>10</v>
      </c>
      <c r="G144" s="172"/>
      <c r="H144" s="194"/>
      <c r="I144" s="172"/>
      <c r="J144" s="172"/>
      <c r="K144" s="258"/>
    </row>
    <row r="145" spans="1:11" ht="38.25">
      <c r="A145" s="257" t="s">
        <v>391</v>
      </c>
      <c r="B145" s="170" t="s">
        <v>392</v>
      </c>
      <c r="C145" s="186" t="s">
        <v>43</v>
      </c>
      <c r="D145" s="186" t="s">
        <v>393</v>
      </c>
      <c r="E145" s="171" t="s">
        <v>36</v>
      </c>
      <c r="F145" s="170">
        <v>1</v>
      </c>
      <c r="G145" s="172"/>
      <c r="H145" s="194"/>
      <c r="I145" s="172"/>
      <c r="J145" s="172"/>
      <c r="K145" s="258"/>
    </row>
    <row r="146" spans="1:11" ht="38.25">
      <c r="A146" s="257" t="s">
        <v>394</v>
      </c>
      <c r="B146" s="170" t="s">
        <v>395</v>
      </c>
      <c r="C146" s="186" t="s">
        <v>43</v>
      </c>
      <c r="D146" s="186" t="s">
        <v>396</v>
      </c>
      <c r="E146" s="171" t="s">
        <v>36</v>
      </c>
      <c r="F146" s="170">
        <v>1</v>
      </c>
      <c r="G146" s="172"/>
      <c r="H146" s="194"/>
      <c r="I146" s="172"/>
      <c r="J146" s="172"/>
      <c r="K146" s="258"/>
    </row>
    <row r="147" spans="1:11" ht="25.5">
      <c r="A147" s="257" t="s">
        <v>397</v>
      </c>
      <c r="B147" s="170" t="s">
        <v>398</v>
      </c>
      <c r="C147" s="186" t="s">
        <v>43</v>
      </c>
      <c r="D147" s="186" t="s">
        <v>399</v>
      </c>
      <c r="E147" s="171" t="s">
        <v>36</v>
      </c>
      <c r="F147" s="170">
        <v>16</v>
      </c>
      <c r="G147" s="172"/>
      <c r="H147" s="194"/>
      <c r="I147" s="172"/>
      <c r="J147" s="172"/>
      <c r="K147" s="258"/>
    </row>
    <row r="148" spans="1:11" ht="25.5">
      <c r="A148" s="257" t="s">
        <v>400</v>
      </c>
      <c r="B148" s="170" t="s">
        <v>401</v>
      </c>
      <c r="C148" s="186" t="s">
        <v>43</v>
      </c>
      <c r="D148" s="186" t="s">
        <v>402</v>
      </c>
      <c r="E148" s="171" t="s">
        <v>36</v>
      </c>
      <c r="F148" s="170">
        <v>7</v>
      </c>
      <c r="G148" s="172"/>
      <c r="H148" s="194"/>
      <c r="I148" s="172"/>
      <c r="J148" s="172"/>
      <c r="K148" s="258"/>
    </row>
    <row r="149" spans="1:11" ht="25.5">
      <c r="A149" s="257" t="s">
        <v>403</v>
      </c>
      <c r="B149" s="170" t="s">
        <v>404</v>
      </c>
      <c r="C149" s="186" t="s">
        <v>43</v>
      </c>
      <c r="D149" s="186" t="s">
        <v>405</v>
      </c>
      <c r="E149" s="171" t="s">
        <v>36</v>
      </c>
      <c r="F149" s="170">
        <v>29</v>
      </c>
      <c r="G149" s="172"/>
      <c r="H149" s="194"/>
      <c r="I149" s="172"/>
      <c r="J149" s="172"/>
      <c r="K149" s="258"/>
    </row>
    <row r="150" spans="1:11">
      <c r="A150" s="257" t="s">
        <v>406</v>
      </c>
      <c r="B150" s="170" t="s">
        <v>407</v>
      </c>
      <c r="C150" s="186" t="s">
        <v>34</v>
      </c>
      <c r="D150" s="186" t="s">
        <v>408</v>
      </c>
      <c r="E150" s="171" t="s">
        <v>36</v>
      </c>
      <c r="F150" s="170">
        <v>9</v>
      </c>
      <c r="G150" s="172"/>
      <c r="H150" s="194"/>
      <c r="I150" s="172"/>
      <c r="J150" s="172"/>
      <c r="K150" s="258"/>
    </row>
    <row r="151" spans="1:11">
      <c r="A151" s="257" t="s">
        <v>409</v>
      </c>
      <c r="B151" s="170" t="s">
        <v>410</v>
      </c>
      <c r="C151" s="186" t="s">
        <v>34</v>
      </c>
      <c r="D151" s="186" t="s">
        <v>411</v>
      </c>
      <c r="E151" s="171" t="s">
        <v>36</v>
      </c>
      <c r="F151" s="170">
        <v>5</v>
      </c>
      <c r="G151" s="172"/>
      <c r="H151" s="194"/>
      <c r="I151" s="172"/>
      <c r="J151" s="172"/>
      <c r="K151" s="258"/>
    </row>
    <row r="152" spans="1:11" ht="25.5">
      <c r="A152" s="257" t="s">
        <v>412</v>
      </c>
      <c r="B152" s="170" t="s">
        <v>413</v>
      </c>
      <c r="C152" s="186" t="s">
        <v>43</v>
      </c>
      <c r="D152" s="186" t="s">
        <v>414</v>
      </c>
      <c r="E152" s="171" t="s">
        <v>36</v>
      </c>
      <c r="F152" s="170">
        <v>14</v>
      </c>
      <c r="G152" s="172"/>
      <c r="H152" s="194"/>
      <c r="I152" s="172"/>
      <c r="J152" s="172"/>
      <c r="K152" s="258"/>
    </row>
    <row r="153" spans="1:11">
      <c r="A153" s="257" t="s">
        <v>415</v>
      </c>
      <c r="B153" s="170" t="s">
        <v>416</v>
      </c>
      <c r="C153" s="186" t="s">
        <v>34</v>
      </c>
      <c r="D153" s="186" t="s">
        <v>417</v>
      </c>
      <c r="E153" s="171" t="s">
        <v>36</v>
      </c>
      <c r="F153" s="170">
        <v>6</v>
      </c>
      <c r="G153" s="172"/>
      <c r="H153" s="194"/>
      <c r="I153" s="172"/>
      <c r="J153" s="172"/>
      <c r="K153" s="258"/>
    </row>
    <row r="154" spans="1:11" ht="25.5">
      <c r="A154" s="257" t="s">
        <v>418</v>
      </c>
      <c r="B154" s="170" t="s">
        <v>419</v>
      </c>
      <c r="C154" s="186" t="s">
        <v>43</v>
      </c>
      <c r="D154" s="186" t="s">
        <v>420</v>
      </c>
      <c r="E154" s="171" t="s">
        <v>36</v>
      </c>
      <c r="F154" s="170">
        <v>16</v>
      </c>
      <c r="G154" s="172"/>
      <c r="H154" s="194"/>
      <c r="I154" s="172"/>
      <c r="J154" s="172"/>
      <c r="K154" s="258"/>
    </row>
    <row r="155" spans="1:11">
      <c r="A155" s="257" t="s">
        <v>421</v>
      </c>
      <c r="B155" s="170" t="s">
        <v>422</v>
      </c>
      <c r="C155" s="186" t="s">
        <v>34</v>
      </c>
      <c r="D155" s="186" t="s">
        <v>423</v>
      </c>
      <c r="E155" s="171" t="s">
        <v>36</v>
      </c>
      <c r="F155" s="170">
        <v>2</v>
      </c>
      <c r="G155" s="172"/>
      <c r="H155" s="194"/>
      <c r="I155" s="172"/>
      <c r="J155" s="172"/>
      <c r="K155" s="258"/>
    </row>
    <row r="156" spans="1:11" ht="25.5">
      <c r="A156" s="257" t="s">
        <v>424</v>
      </c>
      <c r="B156" s="170" t="s">
        <v>425</v>
      </c>
      <c r="C156" s="186" t="s">
        <v>43</v>
      </c>
      <c r="D156" s="186" t="s">
        <v>426</v>
      </c>
      <c r="E156" s="171" t="s">
        <v>36</v>
      </c>
      <c r="F156" s="170">
        <v>34</v>
      </c>
      <c r="G156" s="172"/>
      <c r="H156" s="194"/>
      <c r="I156" s="172"/>
      <c r="J156" s="172"/>
      <c r="K156" s="258"/>
    </row>
    <row r="157" spans="1:11" ht="25.5">
      <c r="A157" s="257" t="s">
        <v>427</v>
      </c>
      <c r="B157" s="170" t="s">
        <v>428</v>
      </c>
      <c r="C157" s="186" t="s">
        <v>34</v>
      </c>
      <c r="D157" s="186" t="s">
        <v>429</v>
      </c>
      <c r="E157" s="171" t="s">
        <v>36</v>
      </c>
      <c r="F157" s="170">
        <v>7</v>
      </c>
      <c r="G157" s="172"/>
      <c r="H157" s="194"/>
      <c r="I157" s="172"/>
      <c r="J157" s="172"/>
      <c r="K157" s="258"/>
    </row>
    <row r="158" spans="1:11">
      <c r="A158" s="257" t="s">
        <v>430</v>
      </c>
      <c r="B158" s="170" t="s">
        <v>431</v>
      </c>
      <c r="C158" s="186" t="s">
        <v>34</v>
      </c>
      <c r="D158" s="186" t="s">
        <v>432</v>
      </c>
      <c r="E158" s="171" t="s">
        <v>45</v>
      </c>
      <c r="F158" s="170">
        <v>18</v>
      </c>
      <c r="G158" s="172"/>
      <c r="H158" s="194"/>
      <c r="I158" s="172"/>
      <c r="J158" s="172"/>
      <c r="K158" s="258"/>
    </row>
    <row r="159" spans="1:11" ht="25.5">
      <c r="A159" s="257" t="s">
        <v>433</v>
      </c>
      <c r="B159" s="170" t="s">
        <v>434</v>
      </c>
      <c r="C159" s="186" t="s">
        <v>34</v>
      </c>
      <c r="D159" s="186" t="s">
        <v>435</v>
      </c>
      <c r="E159" s="171" t="s">
        <v>36</v>
      </c>
      <c r="F159" s="170">
        <v>34</v>
      </c>
      <c r="G159" s="172"/>
      <c r="H159" s="194"/>
      <c r="I159" s="172"/>
      <c r="J159" s="172"/>
      <c r="K159" s="258"/>
    </row>
    <row r="160" spans="1:11" ht="25.5">
      <c r="A160" s="257" t="s">
        <v>436</v>
      </c>
      <c r="B160" s="170" t="s">
        <v>437</v>
      </c>
      <c r="C160" s="186" t="s">
        <v>34</v>
      </c>
      <c r="D160" s="186" t="s">
        <v>438</v>
      </c>
      <c r="E160" s="171" t="s">
        <v>36</v>
      </c>
      <c r="F160" s="170">
        <v>16</v>
      </c>
      <c r="G160" s="172"/>
      <c r="H160" s="194"/>
      <c r="I160" s="172"/>
      <c r="J160" s="172"/>
      <c r="K160" s="258"/>
    </row>
    <row r="161" spans="1:11" ht="25.5">
      <c r="A161" s="257" t="s">
        <v>439</v>
      </c>
      <c r="B161" s="170" t="s">
        <v>440</v>
      </c>
      <c r="C161" s="186" t="s">
        <v>34</v>
      </c>
      <c r="D161" s="186" t="s">
        <v>441</v>
      </c>
      <c r="E161" s="171" t="s">
        <v>36</v>
      </c>
      <c r="F161" s="170">
        <v>25</v>
      </c>
      <c r="G161" s="172"/>
      <c r="H161" s="194"/>
      <c r="I161" s="172"/>
      <c r="J161" s="172"/>
      <c r="K161" s="258"/>
    </row>
    <row r="162" spans="1:11" ht="25.5">
      <c r="A162" s="257" t="s">
        <v>442</v>
      </c>
      <c r="B162" s="170" t="s">
        <v>443</v>
      </c>
      <c r="C162" s="186" t="s">
        <v>34</v>
      </c>
      <c r="D162" s="186" t="s">
        <v>444</v>
      </c>
      <c r="E162" s="171" t="s">
        <v>36</v>
      </c>
      <c r="F162" s="170">
        <v>7</v>
      </c>
      <c r="G162" s="172"/>
      <c r="H162" s="194"/>
      <c r="I162" s="172"/>
      <c r="J162" s="172"/>
      <c r="K162" s="258"/>
    </row>
    <row r="163" spans="1:11" ht="38.25">
      <c r="A163" s="257" t="s">
        <v>445</v>
      </c>
      <c r="B163" s="170" t="s">
        <v>446</v>
      </c>
      <c r="C163" s="186" t="s">
        <v>34</v>
      </c>
      <c r="D163" s="186" t="s">
        <v>447</v>
      </c>
      <c r="E163" s="171" t="s">
        <v>36</v>
      </c>
      <c r="F163" s="170">
        <v>26</v>
      </c>
      <c r="G163" s="172"/>
      <c r="H163" s="194"/>
      <c r="I163" s="172"/>
      <c r="J163" s="172"/>
      <c r="K163" s="258"/>
    </row>
    <row r="164" spans="1:11" ht="38.25">
      <c r="A164" s="257" t="s">
        <v>448</v>
      </c>
      <c r="B164" s="170" t="s">
        <v>449</v>
      </c>
      <c r="C164" s="186" t="s">
        <v>34</v>
      </c>
      <c r="D164" s="186" t="s">
        <v>450</v>
      </c>
      <c r="E164" s="171" t="s">
        <v>36</v>
      </c>
      <c r="F164" s="170">
        <v>7</v>
      </c>
      <c r="G164" s="172"/>
      <c r="H164" s="194"/>
      <c r="I164" s="172"/>
      <c r="J164" s="172"/>
      <c r="K164" s="258"/>
    </row>
    <row r="165" spans="1:11" ht="25.5">
      <c r="A165" s="257" t="s">
        <v>451</v>
      </c>
      <c r="B165" s="170" t="s">
        <v>452</v>
      </c>
      <c r="C165" s="186" t="s">
        <v>34</v>
      </c>
      <c r="D165" s="186" t="s">
        <v>453</v>
      </c>
      <c r="E165" s="171" t="s">
        <v>36</v>
      </c>
      <c r="F165" s="170">
        <v>34</v>
      </c>
      <c r="G165" s="172"/>
      <c r="H165" s="194"/>
      <c r="I165" s="172"/>
      <c r="J165" s="172"/>
      <c r="K165" s="258"/>
    </row>
    <row r="166" spans="1:11">
      <c r="A166" s="257" t="s">
        <v>454</v>
      </c>
      <c r="B166" s="170" t="s">
        <v>455</v>
      </c>
      <c r="C166" s="186" t="s">
        <v>34</v>
      </c>
      <c r="D166" s="186" t="s">
        <v>456</v>
      </c>
      <c r="E166" s="171" t="s">
        <v>36</v>
      </c>
      <c r="F166" s="170">
        <v>21</v>
      </c>
      <c r="G166" s="172"/>
      <c r="H166" s="194"/>
      <c r="I166" s="172"/>
      <c r="J166" s="172"/>
      <c r="K166" s="258"/>
    </row>
    <row r="167" spans="1:11">
      <c r="A167" s="257" t="s">
        <v>457</v>
      </c>
      <c r="B167" s="170" t="s">
        <v>458</v>
      </c>
      <c r="C167" s="186" t="s">
        <v>34</v>
      </c>
      <c r="D167" s="186" t="s">
        <v>459</v>
      </c>
      <c r="E167" s="171" t="s">
        <v>45</v>
      </c>
      <c r="F167" s="170">
        <v>77.209999999999994</v>
      </c>
      <c r="G167" s="172"/>
      <c r="H167" s="194"/>
      <c r="I167" s="172"/>
      <c r="J167" s="172"/>
      <c r="K167" s="258"/>
    </row>
    <row r="168" spans="1:11" ht="38.25">
      <c r="A168" s="257" t="s">
        <v>460</v>
      </c>
      <c r="B168" s="170" t="s">
        <v>461</v>
      </c>
      <c r="C168" s="186" t="s">
        <v>43</v>
      </c>
      <c r="D168" s="186" t="s">
        <v>462</v>
      </c>
      <c r="E168" s="171" t="s">
        <v>144</v>
      </c>
      <c r="F168" s="170">
        <v>20.399999999999999</v>
      </c>
      <c r="G168" s="172"/>
      <c r="H168" s="194"/>
      <c r="I168" s="172"/>
      <c r="J168" s="172"/>
      <c r="K168" s="258"/>
    </row>
    <row r="169" spans="1:11" ht="25.5">
      <c r="A169" s="257" t="s">
        <v>463</v>
      </c>
      <c r="B169" s="170" t="s">
        <v>155</v>
      </c>
      <c r="C169" s="186" t="s">
        <v>43</v>
      </c>
      <c r="D169" s="186" t="s">
        <v>156</v>
      </c>
      <c r="E169" s="171" t="s">
        <v>144</v>
      </c>
      <c r="F169" s="170">
        <v>1032.8399999999999</v>
      </c>
      <c r="G169" s="172"/>
      <c r="H169" s="194"/>
      <c r="I169" s="172"/>
      <c r="J169" s="172"/>
      <c r="K169" s="258"/>
    </row>
    <row r="170" spans="1:11">
      <c r="A170" s="257" t="s">
        <v>464</v>
      </c>
      <c r="B170" s="170" t="s">
        <v>465</v>
      </c>
      <c r="C170" s="186" t="s">
        <v>34</v>
      </c>
      <c r="D170" s="186" t="s">
        <v>466</v>
      </c>
      <c r="E170" s="171" t="s">
        <v>144</v>
      </c>
      <c r="F170" s="170">
        <v>52.84</v>
      </c>
      <c r="G170" s="172"/>
      <c r="H170" s="194"/>
      <c r="I170" s="172"/>
      <c r="J170" s="172"/>
      <c r="K170" s="258"/>
    </row>
    <row r="171" spans="1:11">
      <c r="A171" s="259" t="s">
        <v>467</v>
      </c>
      <c r="B171" s="187"/>
      <c r="C171" s="187"/>
      <c r="D171" s="187" t="s">
        <v>468</v>
      </c>
      <c r="E171" s="187"/>
      <c r="F171" s="169"/>
      <c r="G171" s="187"/>
      <c r="H171" s="193"/>
      <c r="I171" s="187"/>
      <c r="J171" s="168"/>
      <c r="K171" s="260"/>
    </row>
    <row r="172" spans="1:11" ht="25.5">
      <c r="A172" s="257" t="s">
        <v>469</v>
      </c>
      <c r="B172" s="170" t="s">
        <v>470</v>
      </c>
      <c r="C172" s="186" t="s">
        <v>43</v>
      </c>
      <c r="D172" s="186" t="s">
        <v>471</v>
      </c>
      <c r="E172" s="171" t="s">
        <v>36</v>
      </c>
      <c r="F172" s="170">
        <v>2</v>
      </c>
      <c r="G172" s="172"/>
      <c r="H172" s="194"/>
      <c r="I172" s="172"/>
      <c r="J172" s="172"/>
      <c r="K172" s="258"/>
    </row>
    <row r="173" spans="1:11" ht="25.5">
      <c r="A173" s="257" t="s">
        <v>472</v>
      </c>
      <c r="B173" s="170" t="s">
        <v>473</v>
      </c>
      <c r="C173" s="186" t="s">
        <v>43</v>
      </c>
      <c r="D173" s="186" t="s">
        <v>474</v>
      </c>
      <c r="E173" s="171" t="s">
        <v>36</v>
      </c>
      <c r="F173" s="170">
        <v>1</v>
      </c>
      <c r="G173" s="172"/>
      <c r="H173" s="194"/>
      <c r="I173" s="172"/>
      <c r="J173" s="172"/>
      <c r="K173" s="258"/>
    </row>
    <row r="174" spans="1:11" ht="25.5">
      <c r="A174" s="257" t="s">
        <v>475</v>
      </c>
      <c r="B174" s="170" t="s">
        <v>476</v>
      </c>
      <c r="C174" s="186" t="s">
        <v>43</v>
      </c>
      <c r="D174" s="186" t="s">
        <v>477</v>
      </c>
      <c r="E174" s="171" t="s">
        <v>36</v>
      </c>
      <c r="F174" s="170">
        <v>1</v>
      </c>
      <c r="G174" s="172"/>
      <c r="H174" s="194"/>
      <c r="I174" s="172"/>
      <c r="J174" s="172"/>
      <c r="K174" s="258"/>
    </row>
    <row r="175" spans="1:11" ht="25.5">
      <c r="A175" s="257" t="s">
        <v>478</v>
      </c>
      <c r="B175" s="170" t="s">
        <v>479</v>
      </c>
      <c r="C175" s="186" t="s">
        <v>43</v>
      </c>
      <c r="D175" s="186" t="s">
        <v>480</v>
      </c>
      <c r="E175" s="171" t="s">
        <v>36</v>
      </c>
      <c r="F175" s="170">
        <v>3</v>
      </c>
      <c r="G175" s="172"/>
      <c r="H175" s="194"/>
      <c r="I175" s="172"/>
      <c r="J175" s="172"/>
      <c r="K175" s="258"/>
    </row>
    <row r="176" spans="1:11" ht="25.5">
      <c r="A176" s="257" t="s">
        <v>481</v>
      </c>
      <c r="B176" s="170" t="s">
        <v>482</v>
      </c>
      <c r="C176" s="186" t="s">
        <v>43</v>
      </c>
      <c r="D176" s="186" t="s">
        <v>483</v>
      </c>
      <c r="E176" s="171" t="s">
        <v>36</v>
      </c>
      <c r="F176" s="170">
        <v>2</v>
      </c>
      <c r="G176" s="172"/>
      <c r="H176" s="194"/>
      <c r="I176" s="172"/>
      <c r="J176" s="172"/>
      <c r="K176" s="258"/>
    </row>
    <row r="177" spans="1:11" ht="25.5">
      <c r="A177" s="257" t="s">
        <v>484</v>
      </c>
      <c r="B177" s="170" t="s">
        <v>485</v>
      </c>
      <c r="C177" s="186" t="s">
        <v>43</v>
      </c>
      <c r="D177" s="186" t="s">
        <v>486</v>
      </c>
      <c r="E177" s="171" t="s">
        <v>36</v>
      </c>
      <c r="F177" s="170">
        <v>1</v>
      </c>
      <c r="G177" s="172"/>
      <c r="H177" s="194"/>
      <c r="I177" s="172"/>
      <c r="J177" s="172"/>
      <c r="K177" s="258"/>
    </row>
    <row r="178" spans="1:11" ht="25.5">
      <c r="A178" s="257" t="s">
        <v>487</v>
      </c>
      <c r="B178" s="170" t="s">
        <v>488</v>
      </c>
      <c r="C178" s="186" t="s">
        <v>43</v>
      </c>
      <c r="D178" s="186" t="s">
        <v>489</v>
      </c>
      <c r="E178" s="171" t="s">
        <v>36</v>
      </c>
      <c r="F178" s="170">
        <v>29</v>
      </c>
      <c r="G178" s="172"/>
      <c r="H178" s="194"/>
      <c r="I178" s="172"/>
      <c r="J178" s="172"/>
      <c r="K178" s="258"/>
    </row>
    <row r="179" spans="1:11" ht="25.5">
      <c r="A179" s="257" t="s">
        <v>490</v>
      </c>
      <c r="B179" s="170" t="s">
        <v>491</v>
      </c>
      <c r="C179" s="186" t="s">
        <v>34</v>
      </c>
      <c r="D179" s="186" t="s">
        <v>492</v>
      </c>
      <c r="E179" s="171" t="s">
        <v>36</v>
      </c>
      <c r="F179" s="170">
        <v>1</v>
      </c>
      <c r="G179" s="172"/>
      <c r="H179" s="194"/>
      <c r="I179" s="172"/>
      <c r="J179" s="172"/>
      <c r="K179" s="258"/>
    </row>
    <row r="180" spans="1:11" ht="25.5">
      <c r="A180" s="257" t="s">
        <v>493</v>
      </c>
      <c r="B180" s="170" t="s">
        <v>494</v>
      </c>
      <c r="C180" s="186" t="s">
        <v>34</v>
      </c>
      <c r="D180" s="186" t="s">
        <v>495</v>
      </c>
      <c r="E180" s="171" t="s">
        <v>36</v>
      </c>
      <c r="F180" s="170">
        <v>1</v>
      </c>
      <c r="G180" s="172"/>
      <c r="H180" s="194"/>
      <c r="I180" s="172"/>
      <c r="J180" s="172"/>
      <c r="K180" s="258"/>
    </row>
    <row r="181" spans="1:11" ht="25.5">
      <c r="A181" s="257" t="s">
        <v>496</v>
      </c>
      <c r="B181" s="170" t="s">
        <v>497</v>
      </c>
      <c r="C181" s="186" t="s">
        <v>34</v>
      </c>
      <c r="D181" s="186" t="s">
        <v>498</v>
      </c>
      <c r="E181" s="171" t="s">
        <v>36</v>
      </c>
      <c r="F181" s="170">
        <v>1</v>
      </c>
      <c r="G181" s="172"/>
      <c r="H181" s="194"/>
      <c r="I181" s="172"/>
      <c r="J181" s="172"/>
      <c r="K181" s="258"/>
    </row>
    <row r="182" spans="1:11">
      <c r="A182" s="257" t="s">
        <v>499</v>
      </c>
      <c r="B182" s="170" t="s">
        <v>500</v>
      </c>
      <c r="C182" s="186" t="s">
        <v>34</v>
      </c>
      <c r="D182" s="186" t="s">
        <v>501</v>
      </c>
      <c r="E182" s="171" t="s">
        <v>36</v>
      </c>
      <c r="F182" s="170">
        <v>20</v>
      </c>
      <c r="G182" s="172"/>
      <c r="H182" s="194"/>
      <c r="I182" s="172"/>
      <c r="J182" s="172"/>
      <c r="K182" s="258"/>
    </row>
    <row r="183" spans="1:11" ht="25.5">
      <c r="A183" s="257" t="s">
        <v>502</v>
      </c>
      <c r="B183" s="170" t="s">
        <v>503</v>
      </c>
      <c r="C183" s="186" t="s">
        <v>43</v>
      </c>
      <c r="D183" s="186" t="s">
        <v>504</v>
      </c>
      <c r="E183" s="171" t="s">
        <v>36</v>
      </c>
      <c r="F183" s="170">
        <v>2</v>
      </c>
      <c r="G183" s="172"/>
      <c r="H183" s="194"/>
      <c r="I183" s="172"/>
      <c r="J183" s="172"/>
      <c r="K183" s="258"/>
    </row>
    <row r="184" spans="1:11" ht="25.5">
      <c r="A184" s="257" t="s">
        <v>505</v>
      </c>
      <c r="B184" s="170" t="s">
        <v>506</v>
      </c>
      <c r="C184" s="186" t="s">
        <v>43</v>
      </c>
      <c r="D184" s="186" t="s">
        <v>507</v>
      </c>
      <c r="E184" s="171" t="s">
        <v>36</v>
      </c>
      <c r="F184" s="170">
        <v>59</v>
      </c>
      <c r="G184" s="172"/>
      <c r="H184" s="194"/>
      <c r="I184" s="172"/>
      <c r="J184" s="172"/>
      <c r="K184" s="258"/>
    </row>
    <row r="185" spans="1:11" ht="25.5">
      <c r="A185" s="257" t="s">
        <v>508</v>
      </c>
      <c r="B185" s="170" t="s">
        <v>509</v>
      </c>
      <c r="C185" s="186" t="s">
        <v>43</v>
      </c>
      <c r="D185" s="186" t="s">
        <v>510</v>
      </c>
      <c r="E185" s="171" t="s">
        <v>36</v>
      </c>
      <c r="F185" s="170">
        <v>4</v>
      </c>
      <c r="G185" s="172"/>
      <c r="H185" s="194"/>
      <c r="I185" s="172"/>
      <c r="J185" s="172"/>
      <c r="K185" s="258"/>
    </row>
    <row r="186" spans="1:11" ht="25.5">
      <c r="A186" s="257" t="s">
        <v>511</v>
      </c>
      <c r="B186" s="170" t="s">
        <v>512</v>
      </c>
      <c r="C186" s="186" t="s">
        <v>43</v>
      </c>
      <c r="D186" s="186" t="s">
        <v>513</v>
      </c>
      <c r="E186" s="171" t="s">
        <v>36</v>
      </c>
      <c r="F186" s="170">
        <v>175</v>
      </c>
      <c r="G186" s="172"/>
      <c r="H186" s="194"/>
      <c r="I186" s="172"/>
      <c r="J186" s="172"/>
      <c r="K186" s="258"/>
    </row>
    <row r="187" spans="1:11" ht="38.25">
      <c r="A187" s="257" t="s">
        <v>514</v>
      </c>
      <c r="B187" s="170" t="s">
        <v>515</v>
      </c>
      <c r="C187" s="186" t="s">
        <v>43</v>
      </c>
      <c r="D187" s="186" t="s">
        <v>516</v>
      </c>
      <c r="E187" s="171" t="s">
        <v>144</v>
      </c>
      <c r="F187" s="170">
        <v>14025.6</v>
      </c>
      <c r="G187" s="172"/>
      <c r="H187" s="194"/>
      <c r="I187" s="172"/>
      <c r="J187" s="172"/>
      <c r="K187" s="258"/>
    </row>
    <row r="188" spans="1:11" ht="38.25">
      <c r="A188" s="257" t="s">
        <v>517</v>
      </c>
      <c r="B188" s="170" t="s">
        <v>518</v>
      </c>
      <c r="C188" s="186" t="s">
        <v>43</v>
      </c>
      <c r="D188" s="186" t="s">
        <v>519</v>
      </c>
      <c r="E188" s="171" t="s">
        <v>144</v>
      </c>
      <c r="F188" s="170">
        <v>14421.8</v>
      </c>
      <c r="G188" s="172"/>
      <c r="H188" s="194"/>
      <c r="I188" s="172"/>
      <c r="J188" s="172"/>
      <c r="K188" s="258"/>
    </row>
    <row r="189" spans="1:11" ht="38.25">
      <c r="A189" s="257" t="s">
        <v>520</v>
      </c>
      <c r="B189" s="170" t="s">
        <v>521</v>
      </c>
      <c r="C189" s="186" t="s">
        <v>43</v>
      </c>
      <c r="D189" s="186" t="s">
        <v>522</v>
      </c>
      <c r="E189" s="171" t="s">
        <v>144</v>
      </c>
      <c r="F189" s="170">
        <v>49.9</v>
      </c>
      <c r="G189" s="172"/>
      <c r="H189" s="194"/>
      <c r="I189" s="172"/>
      <c r="J189" s="172"/>
      <c r="K189" s="258"/>
    </row>
    <row r="190" spans="1:11" ht="38.25">
      <c r="A190" s="257" t="s">
        <v>523</v>
      </c>
      <c r="B190" s="170" t="s">
        <v>524</v>
      </c>
      <c r="C190" s="186" t="s">
        <v>43</v>
      </c>
      <c r="D190" s="186" t="s">
        <v>525</v>
      </c>
      <c r="E190" s="171" t="s">
        <v>144</v>
      </c>
      <c r="F190" s="170">
        <v>58.1</v>
      </c>
      <c r="G190" s="172"/>
      <c r="H190" s="194"/>
      <c r="I190" s="172"/>
      <c r="J190" s="172"/>
      <c r="K190" s="258"/>
    </row>
    <row r="191" spans="1:11" ht="25.5">
      <c r="A191" s="257" t="s">
        <v>526</v>
      </c>
      <c r="B191" s="170" t="s">
        <v>527</v>
      </c>
      <c r="C191" s="186" t="s">
        <v>43</v>
      </c>
      <c r="D191" s="186" t="s">
        <v>528</v>
      </c>
      <c r="E191" s="171" t="s">
        <v>144</v>
      </c>
      <c r="F191" s="170">
        <v>1.2</v>
      </c>
      <c r="G191" s="172"/>
      <c r="H191" s="194"/>
      <c r="I191" s="172"/>
      <c r="J191" s="172"/>
      <c r="K191" s="258"/>
    </row>
    <row r="192" spans="1:11" ht="38.25">
      <c r="A192" s="257" t="s">
        <v>529</v>
      </c>
      <c r="B192" s="170" t="s">
        <v>530</v>
      </c>
      <c r="C192" s="186" t="s">
        <v>43</v>
      </c>
      <c r="D192" s="186" t="s">
        <v>531</v>
      </c>
      <c r="E192" s="171" t="s">
        <v>144</v>
      </c>
      <c r="F192" s="170">
        <v>3.1</v>
      </c>
      <c r="G192" s="172"/>
      <c r="H192" s="194"/>
      <c r="I192" s="172"/>
      <c r="J192" s="172"/>
      <c r="K192" s="258"/>
    </row>
    <row r="193" spans="1:11" ht="38.25">
      <c r="A193" s="257" t="s">
        <v>532</v>
      </c>
      <c r="B193" s="170" t="s">
        <v>533</v>
      </c>
      <c r="C193" s="186" t="s">
        <v>43</v>
      </c>
      <c r="D193" s="186" t="s">
        <v>534</v>
      </c>
      <c r="E193" s="171" t="s">
        <v>144</v>
      </c>
      <c r="F193" s="170">
        <v>12.2</v>
      </c>
      <c r="G193" s="172"/>
      <c r="H193" s="194"/>
      <c r="I193" s="172"/>
      <c r="J193" s="172"/>
      <c r="K193" s="258"/>
    </row>
    <row r="194" spans="1:11" ht="25.5">
      <c r="A194" s="257" t="s">
        <v>535</v>
      </c>
      <c r="B194" s="170" t="s">
        <v>536</v>
      </c>
      <c r="C194" s="186" t="s">
        <v>43</v>
      </c>
      <c r="D194" s="186" t="s">
        <v>537</v>
      </c>
      <c r="E194" s="171" t="s">
        <v>36</v>
      </c>
      <c r="F194" s="170">
        <v>642</v>
      </c>
      <c r="G194" s="172"/>
      <c r="H194" s="194"/>
      <c r="I194" s="172"/>
      <c r="J194" s="172"/>
      <c r="K194" s="258"/>
    </row>
    <row r="195" spans="1:11" ht="25.5">
      <c r="A195" s="257" t="s">
        <v>538</v>
      </c>
      <c r="B195" s="170" t="s">
        <v>539</v>
      </c>
      <c r="C195" s="186" t="s">
        <v>43</v>
      </c>
      <c r="D195" s="186" t="s">
        <v>540</v>
      </c>
      <c r="E195" s="171" t="s">
        <v>36</v>
      </c>
      <c r="F195" s="170">
        <v>732</v>
      </c>
      <c r="G195" s="172"/>
      <c r="H195" s="194"/>
      <c r="I195" s="172"/>
      <c r="J195" s="172"/>
      <c r="K195" s="258"/>
    </row>
    <row r="196" spans="1:11" ht="38.25">
      <c r="A196" s="257" t="s">
        <v>541</v>
      </c>
      <c r="B196" s="170" t="s">
        <v>542</v>
      </c>
      <c r="C196" s="186" t="s">
        <v>43</v>
      </c>
      <c r="D196" s="186" t="s">
        <v>543</v>
      </c>
      <c r="E196" s="171" t="s">
        <v>36</v>
      </c>
      <c r="F196" s="170">
        <v>144</v>
      </c>
      <c r="G196" s="172"/>
      <c r="H196" s="194"/>
      <c r="I196" s="172"/>
      <c r="J196" s="172"/>
      <c r="K196" s="258"/>
    </row>
    <row r="197" spans="1:11" ht="38.25">
      <c r="A197" s="257" t="s">
        <v>544</v>
      </c>
      <c r="B197" s="170" t="s">
        <v>545</v>
      </c>
      <c r="C197" s="186" t="s">
        <v>43</v>
      </c>
      <c r="D197" s="186" t="s">
        <v>546</v>
      </c>
      <c r="E197" s="171" t="s">
        <v>36</v>
      </c>
      <c r="F197" s="170">
        <v>6</v>
      </c>
      <c r="G197" s="172"/>
      <c r="H197" s="194"/>
      <c r="I197" s="172"/>
      <c r="J197" s="172"/>
      <c r="K197" s="258"/>
    </row>
    <row r="198" spans="1:11" ht="38.25">
      <c r="A198" s="257" t="s">
        <v>547</v>
      </c>
      <c r="B198" s="170" t="s">
        <v>548</v>
      </c>
      <c r="C198" s="186" t="s">
        <v>43</v>
      </c>
      <c r="D198" s="186" t="s">
        <v>549</v>
      </c>
      <c r="E198" s="171" t="s">
        <v>36</v>
      </c>
      <c r="F198" s="170">
        <v>51</v>
      </c>
      <c r="G198" s="172"/>
      <c r="H198" s="194"/>
      <c r="I198" s="172"/>
      <c r="J198" s="172"/>
      <c r="K198" s="258"/>
    </row>
    <row r="199" spans="1:11" ht="38.25">
      <c r="A199" s="257" t="s">
        <v>550</v>
      </c>
      <c r="B199" s="170" t="s">
        <v>551</v>
      </c>
      <c r="C199" s="186" t="s">
        <v>43</v>
      </c>
      <c r="D199" s="186" t="s">
        <v>552</v>
      </c>
      <c r="E199" s="171" t="s">
        <v>36</v>
      </c>
      <c r="F199" s="170">
        <v>5</v>
      </c>
      <c r="G199" s="172"/>
      <c r="H199" s="194"/>
      <c r="I199" s="172"/>
      <c r="J199" s="172"/>
      <c r="K199" s="258"/>
    </row>
    <row r="200" spans="1:11" ht="38.25">
      <c r="A200" s="257" t="s">
        <v>553</v>
      </c>
      <c r="B200" s="170" t="s">
        <v>554</v>
      </c>
      <c r="C200" s="186" t="s">
        <v>43</v>
      </c>
      <c r="D200" s="186" t="s">
        <v>555</v>
      </c>
      <c r="E200" s="171" t="s">
        <v>36</v>
      </c>
      <c r="F200" s="170">
        <v>1438</v>
      </c>
      <c r="G200" s="172"/>
      <c r="H200" s="194"/>
      <c r="I200" s="172"/>
      <c r="J200" s="172"/>
      <c r="K200" s="258"/>
    </row>
    <row r="201" spans="1:11" ht="25.5">
      <c r="A201" s="257" t="s">
        <v>556</v>
      </c>
      <c r="B201" s="170" t="s">
        <v>557</v>
      </c>
      <c r="C201" s="186" t="s">
        <v>43</v>
      </c>
      <c r="D201" s="186" t="s">
        <v>558</v>
      </c>
      <c r="E201" s="171" t="s">
        <v>36</v>
      </c>
      <c r="F201" s="170">
        <v>62</v>
      </c>
      <c r="G201" s="172"/>
      <c r="H201" s="194"/>
      <c r="I201" s="172"/>
      <c r="J201" s="172"/>
      <c r="K201" s="258"/>
    </row>
    <row r="202" spans="1:11" ht="38.25">
      <c r="A202" s="257" t="s">
        <v>559</v>
      </c>
      <c r="B202" s="170" t="s">
        <v>560</v>
      </c>
      <c r="C202" s="186" t="s">
        <v>43</v>
      </c>
      <c r="D202" s="186" t="s">
        <v>561</v>
      </c>
      <c r="E202" s="171" t="s">
        <v>36</v>
      </c>
      <c r="F202" s="170">
        <v>1</v>
      </c>
      <c r="G202" s="172"/>
      <c r="H202" s="194"/>
      <c r="I202" s="172"/>
      <c r="J202" s="172"/>
      <c r="K202" s="258"/>
    </row>
    <row r="203" spans="1:11" ht="25.5">
      <c r="A203" s="257" t="s">
        <v>562</v>
      </c>
      <c r="B203" s="170" t="s">
        <v>563</v>
      </c>
      <c r="C203" s="186" t="s">
        <v>43</v>
      </c>
      <c r="D203" s="186" t="s">
        <v>564</v>
      </c>
      <c r="E203" s="171" t="s">
        <v>36</v>
      </c>
      <c r="F203" s="170">
        <v>1</v>
      </c>
      <c r="G203" s="172"/>
      <c r="H203" s="194"/>
      <c r="I203" s="172"/>
      <c r="J203" s="172"/>
      <c r="K203" s="258"/>
    </row>
    <row r="204" spans="1:11" ht="25.5">
      <c r="A204" s="257" t="s">
        <v>565</v>
      </c>
      <c r="B204" s="170" t="s">
        <v>566</v>
      </c>
      <c r="C204" s="186" t="s">
        <v>43</v>
      </c>
      <c r="D204" s="186" t="s">
        <v>567</v>
      </c>
      <c r="E204" s="171" t="s">
        <v>36</v>
      </c>
      <c r="F204" s="170">
        <v>20</v>
      </c>
      <c r="G204" s="172"/>
      <c r="H204" s="194"/>
      <c r="I204" s="172"/>
      <c r="J204" s="172"/>
      <c r="K204" s="258"/>
    </row>
    <row r="205" spans="1:11" ht="25.5">
      <c r="A205" s="257" t="s">
        <v>568</v>
      </c>
      <c r="B205" s="170" t="s">
        <v>569</v>
      </c>
      <c r="C205" s="186" t="s">
        <v>43</v>
      </c>
      <c r="D205" s="186" t="s">
        <v>570</v>
      </c>
      <c r="E205" s="171" t="s">
        <v>36</v>
      </c>
      <c r="F205" s="170">
        <v>10</v>
      </c>
      <c r="G205" s="172"/>
      <c r="H205" s="194"/>
      <c r="I205" s="172"/>
      <c r="J205" s="172"/>
      <c r="K205" s="258"/>
    </row>
    <row r="206" spans="1:11" ht="25.5">
      <c r="A206" s="257" t="s">
        <v>571</v>
      </c>
      <c r="B206" s="170" t="s">
        <v>572</v>
      </c>
      <c r="C206" s="186" t="s">
        <v>43</v>
      </c>
      <c r="D206" s="186" t="s">
        <v>573</v>
      </c>
      <c r="E206" s="171" t="s">
        <v>36</v>
      </c>
      <c r="F206" s="170">
        <v>4</v>
      </c>
      <c r="G206" s="172"/>
      <c r="H206" s="194"/>
      <c r="I206" s="172"/>
      <c r="J206" s="172"/>
      <c r="K206" s="258"/>
    </row>
    <row r="207" spans="1:11" ht="38.25">
      <c r="A207" s="257" t="s">
        <v>574</v>
      </c>
      <c r="B207" s="170" t="s">
        <v>575</v>
      </c>
      <c r="C207" s="186" t="s">
        <v>43</v>
      </c>
      <c r="D207" s="186" t="s">
        <v>576</v>
      </c>
      <c r="E207" s="171" t="s">
        <v>36</v>
      </c>
      <c r="F207" s="170">
        <v>4</v>
      </c>
      <c r="G207" s="172"/>
      <c r="H207" s="194"/>
      <c r="I207" s="172"/>
      <c r="J207" s="172"/>
      <c r="K207" s="258"/>
    </row>
    <row r="208" spans="1:11" ht="25.5">
      <c r="A208" s="257" t="s">
        <v>577</v>
      </c>
      <c r="B208" s="170" t="s">
        <v>578</v>
      </c>
      <c r="C208" s="186" t="s">
        <v>43</v>
      </c>
      <c r="D208" s="186" t="s">
        <v>579</v>
      </c>
      <c r="E208" s="171" t="s">
        <v>36</v>
      </c>
      <c r="F208" s="170">
        <v>43</v>
      </c>
      <c r="G208" s="172"/>
      <c r="H208" s="194"/>
      <c r="I208" s="172"/>
      <c r="J208" s="172"/>
      <c r="K208" s="258"/>
    </row>
    <row r="209" spans="1:11" ht="25.5">
      <c r="A209" s="257" t="s">
        <v>580</v>
      </c>
      <c r="B209" s="170" t="s">
        <v>581</v>
      </c>
      <c r="C209" s="186" t="s">
        <v>43</v>
      </c>
      <c r="D209" s="186" t="s">
        <v>582</v>
      </c>
      <c r="E209" s="171" t="s">
        <v>36</v>
      </c>
      <c r="F209" s="170">
        <v>2</v>
      </c>
      <c r="G209" s="172"/>
      <c r="H209" s="194"/>
      <c r="I209" s="172"/>
      <c r="J209" s="172"/>
      <c r="K209" s="258"/>
    </row>
    <row r="210" spans="1:11">
      <c r="A210" s="257" t="s">
        <v>583</v>
      </c>
      <c r="B210" s="170" t="s">
        <v>584</v>
      </c>
      <c r="C210" s="186" t="s">
        <v>34</v>
      </c>
      <c r="D210" s="186" t="s">
        <v>585</v>
      </c>
      <c r="E210" s="171" t="s">
        <v>36</v>
      </c>
      <c r="F210" s="170">
        <v>27</v>
      </c>
      <c r="G210" s="172"/>
      <c r="H210" s="194"/>
      <c r="I210" s="172"/>
      <c r="J210" s="172"/>
      <c r="K210" s="258"/>
    </row>
    <row r="211" spans="1:11" ht="25.5">
      <c r="A211" s="257" t="s">
        <v>586</v>
      </c>
      <c r="B211" s="170" t="s">
        <v>587</v>
      </c>
      <c r="C211" s="186" t="s">
        <v>43</v>
      </c>
      <c r="D211" s="186" t="s">
        <v>588</v>
      </c>
      <c r="E211" s="171" t="s">
        <v>36</v>
      </c>
      <c r="F211" s="170">
        <v>125</v>
      </c>
      <c r="G211" s="172"/>
      <c r="H211" s="194"/>
      <c r="I211" s="172"/>
      <c r="J211" s="172"/>
      <c r="K211" s="258"/>
    </row>
    <row r="212" spans="1:11" ht="25.5">
      <c r="A212" s="257" t="s">
        <v>589</v>
      </c>
      <c r="B212" s="170" t="s">
        <v>590</v>
      </c>
      <c r="C212" s="186" t="s">
        <v>43</v>
      </c>
      <c r="D212" s="186" t="s">
        <v>591</v>
      </c>
      <c r="E212" s="171" t="s">
        <v>36</v>
      </c>
      <c r="F212" s="170">
        <v>359</v>
      </c>
      <c r="G212" s="172"/>
      <c r="H212" s="194"/>
      <c r="I212" s="172"/>
      <c r="J212" s="172"/>
      <c r="K212" s="258"/>
    </row>
    <row r="213" spans="1:11" ht="25.5">
      <c r="A213" s="257" t="s">
        <v>592</v>
      </c>
      <c r="B213" s="170" t="s">
        <v>593</v>
      </c>
      <c r="C213" s="186" t="s">
        <v>43</v>
      </c>
      <c r="D213" s="186" t="s">
        <v>594</v>
      </c>
      <c r="E213" s="171" t="s">
        <v>36</v>
      </c>
      <c r="F213" s="170">
        <v>2</v>
      </c>
      <c r="G213" s="172"/>
      <c r="H213" s="194"/>
      <c r="I213" s="172"/>
      <c r="J213" s="172"/>
      <c r="K213" s="258"/>
    </row>
    <row r="214" spans="1:11">
      <c r="A214" s="257" t="s">
        <v>595</v>
      </c>
      <c r="B214" s="170" t="s">
        <v>596</v>
      </c>
      <c r="C214" s="186" t="s">
        <v>34</v>
      </c>
      <c r="D214" s="186" t="s">
        <v>597</v>
      </c>
      <c r="E214" s="171" t="s">
        <v>36</v>
      </c>
      <c r="F214" s="170">
        <v>2</v>
      </c>
      <c r="G214" s="172"/>
      <c r="H214" s="194"/>
      <c r="I214" s="172"/>
      <c r="J214" s="172"/>
      <c r="K214" s="258"/>
    </row>
    <row r="215" spans="1:11">
      <c r="A215" s="257" t="s">
        <v>598</v>
      </c>
      <c r="B215" s="170" t="s">
        <v>599</v>
      </c>
      <c r="C215" s="186" t="s">
        <v>34</v>
      </c>
      <c r="D215" s="186" t="s">
        <v>600</v>
      </c>
      <c r="E215" s="171" t="s">
        <v>36</v>
      </c>
      <c r="F215" s="170">
        <v>2</v>
      </c>
      <c r="G215" s="172"/>
      <c r="H215" s="194"/>
      <c r="I215" s="172"/>
      <c r="J215" s="172"/>
      <c r="K215" s="258"/>
    </row>
    <row r="216" spans="1:11" ht="25.5">
      <c r="A216" s="257" t="s">
        <v>601</v>
      </c>
      <c r="B216" s="170" t="s">
        <v>602</v>
      </c>
      <c r="C216" s="186" t="s">
        <v>34</v>
      </c>
      <c r="D216" s="186" t="s">
        <v>603</v>
      </c>
      <c r="E216" s="171" t="s">
        <v>36</v>
      </c>
      <c r="F216" s="170">
        <v>1</v>
      </c>
      <c r="G216" s="172"/>
      <c r="H216" s="194"/>
      <c r="I216" s="172"/>
      <c r="J216" s="172"/>
      <c r="K216" s="258"/>
    </row>
    <row r="217" spans="1:11" ht="25.5">
      <c r="A217" s="257" t="s">
        <v>604</v>
      </c>
      <c r="B217" s="170" t="s">
        <v>605</v>
      </c>
      <c r="C217" s="186" t="s">
        <v>43</v>
      </c>
      <c r="D217" s="186" t="s">
        <v>606</v>
      </c>
      <c r="E217" s="171" t="s">
        <v>36</v>
      </c>
      <c r="F217" s="170">
        <v>1</v>
      </c>
      <c r="G217" s="172"/>
      <c r="H217" s="194"/>
      <c r="I217" s="172"/>
      <c r="J217" s="172"/>
      <c r="K217" s="258"/>
    </row>
    <row r="218" spans="1:11" ht="25.5">
      <c r="A218" s="257" t="s">
        <v>607</v>
      </c>
      <c r="B218" s="170" t="s">
        <v>608</v>
      </c>
      <c r="C218" s="186" t="s">
        <v>34</v>
      </c>
      <c r="D218" s="186" t="s">
        <v>609</v>
      </c>
      <c r="E218" s="171" t="s">
        <v>36</v>
      </c>
      <c r="F218" s="170">
        <v>1</v>
      </c>
      <c r="G218" s="172"/>
      <c r="H218" s="194"/>
      <c r="I218" s="172"/>
      <c r="J218" s="172"/>
      <c r="K218" s="258"/>
    </row>
    <row r="219" spans="1:11" ht="25.5">
      <c r="A219" s="257" t="s">
        <v>610</v>
      </c>
      <c r="B219" s="170" t="s">
        <v>611</v>
      </c>
      <c r="C219" s="186" t="s">
        <v>34</v>
      </c>
      <c r="D219" s="186" t="s">
        <v>612</v>
      </c>
      <c r="E219" s="171" t="s">
        <v>36</v>
      </c>
      <c r="F219" s="170">
        <v>2</v>
      </c>
      <c r="G219" s="172"/>
      <c r="H219" s="194"/>
      <c r="I219" s="172"/>
      <c r="J219" s="172"/>
      <c r="K219" s="258"/>
    </row>
    <row r="220" spans="1:11" ht="25.5">
      <c r="A220" s="257" t="s">
        <v>613</v>
      </c>
      <c r="B220" s="170" t="s">
        <v>614</v>
      </c>
      <c r="C220" s="186" t="s">
        <v>34</v>
      </c>
      <c r="D220" s="186" t="s">
        <v>615</v>
      </c>
      <c r="E220" s="171" t="s">
        <v>36</v>
      </c>
      <c r="F220" s="170">
        <v>1</v>
      </c>
      <c r="G220" s="172"/>
      <c r="H220" s="194"/>
      <c r="I220" s="172"/>
      <c r="J220" s="172"/>
      <c r="K220" s="258"/>
    </row>
    <row r="221" spans="1:11" ht="25.5">
      <c r="A221" s="257" t="s">
        <v>616</v>
      </c>
      <c r="B221" s="170" t="s">
        <v>509</v>
      </c>
      <c r="C221" s="186" t="s">
        <v>43</v>
      </c>
      <c r="D221" s="186" t="s">
        <v>510</v>
      </c>
      <c r="E221" s="171" t="s">
        <v>36</v>
      </c>
      <c r="F221" s="170">
        <v>9</v>
      </c>
      <c r="G221" s="172"/>
      <c r="H221" s="194"/>
      <c r="I221" s="172"/>
      <c r="J221" s="172"/>
      <c r="K221" s="258"/>
    </row>
    <row r="222" spans="1:11">
      <c r="A222" s="257" t="s">
        <v>617</v>
      </c>
      <c r="B222" s="170" t="s">
        <v>618</v>
      </c>
      <c r="C222" s="186" t="s">
        <v>34</v>
      </c>
      <c r="D222" s="186" t="s">
        <v>619</v>
      </c>
      <c r="E222" s="171" t="s">
        <v>36</v>
      </c>
      <c r="F222" s="170">
        <v>4</v>
      </c>
      <c r="G222" s="172"/>
      <c r="H222" s="194"/>
      <c r="I222" s="172"/>
      <c r="J222" s="172"/>
      <c r="K222" s="258"/>
    </row>
    <row r="223" spans="1:11">
      <c r="A223" s="257" t="s">
        <v>620</v>
      </c>
      <c r="B223" s="170" t="s">
        <v>621</v>
      </c>
      <c r="C223" s="186" t="s">
        <v>34</v>
      </c>
      <c r="D223" s="186" t="s">
        <v>622</v>
      </c>
      <c r="E223" s="171" t="s">
        <v>36</v>
      </c>
      <c r="F223" s="170">
        <v>7</v>
      </c>
      <c r="G223" s="172"/>
      <c r="H223" s="194"/>
      <c r="I223" s="172"/>
      <c r="J223" s="172"/>
      <c r="K223" s="258"/>
    </row>
    <row r="224" spans="1:11" ht="38.25">
      <c r="A224" s="257" t="s">
        <v>623</v>
      </c>
      <c r="B224" s="170" t="s">
        <v>624</v>
      </c>
      <c r="C224" s="186" t="s">
        <v>43</v>
      </c>
      <c r="D224" s="186" t="s">
        <v>625</v>
      </c>
      <c r="E224" s="171" t="s">
        <v>144</v>
      </c>
      <c r="F224" s="170">
        <v>37</v>
      </c>
      <c r="G224" s="172"/>
      <c r="H224" s="194"/>
      <c r="I224" s="172"/>
      <c r="J224" s="172"/>
      <c r="K224" s="258"/>
    </row>
    <row r="225" spans="1:11" ht="51">
      <c r="A225" s="257" t="s">
        <v>626</v>
      </c>
      <c r="B225" s="170" t="s">
        <v>627</v>
      </c>
      <c r="C225" s="186" t="s">
        <v>43</v>
      </c>
      <c r="D225" s="186" t="s">
        <v>628</v>
      </c>
      <c r="E225" s="171" t="s">
        <v>144</v>
      </c>
      <c r="F225" s="170">
        <v>2700.94</v>
      </c>
      <c r="G225" s="172"/>
      <c r="H225" s="194"/>
      <c r="I225" s="172"/>
      <c r="J225" s="172"/>
      <c r="K225" s="258"/>
    </row>
    <row r="226" spans="1:11" ht="25.5">
      <c r="A226" s="257" t="s">
        <v>629</v>
      </c>
      <c r="B226" s="170" t="s">
        <v>630</v>
      </c>
      <c r="C226" s="186" t="s">
        <v>43</v>
      </c>
      <c r="D226" s="186" t="s">
        <v>631</v>
      </c>
      <c r="E226" s="171" t="s">
        <v>144</v>
      </c>
      <c r="F226" s="170">
        <v>96.7</v>
      </c>
      <c r="G226" s="172"/>
      <c r="H226" s="194"/>
      <c r="I226" s="172"/>
      <c r="J226" s="172"/>
      <c r="K226" s="258"/>
    </row>
    <row r="227" spans="1:11" ht="25.5">
      <c r="A227" s="257" t="s">
        <v>632</v>
      </c>
      <c r="B227" s="170" t="s">
        <v>633</v>
      </c>
      <c r="C227" s="186" t="s">
        <v>43</v>
      </c>
      <c r="D227" s="186" t="s">
        <v>634</v>
      </c>
      <c r="E227" s="171" t="s">
        <v>144</v>
      </c>
      <c r="F227" s="170">
        <v>2598.5</v>
      </c>
      <c r="G227" s="172"/>
      <c r="H227" s="194"/>
      <c r="I227" s="172"/>
      <c r="J227" s="172"/>
      <c r="K227" s="258"/>
    </row>
    <row r="228" spans="1:11" ht="38.25">
      <c r="A228" s="257" t="s">
        <v>635</v>
      </c>
      <c r="B228" s="170" t="s">
        <v>636</v>
      </c>
      <c r="C228" s="186" t="s">
        <v>43</v>
      </c>
      <c r="D228" s="186" t="s">
        <v>637</v>
      </c>
      <c r="E228" s="171" t="s">
        <v>144</v>
      </c>
      <c r="F228" s="170">
        <v>6.7</v>
      </c>
      <c r="G228" s="172"/>
      <c r="H228" s="194"/>
      <c r="I228" s="172"/>
      <c r="J228" s="172"/>
      <c r="K228" s="258"/>
    </row>
    <row r="229" spans="1:11">
      <c r="A229" s="257" t="s">
        <v>638</v>
      </c>
      <c r="B229" s="170" t="s">
        <v>639</v>
      </c>
      <c r="C229" s="186" t="s">
        <v>34</v>
      </c>
      <c r="D229" s="186" t="s">
        <v>640</v>
      </c>
      <c r="E229" s="171" t="s">
        <v>36</v>
      </c>
      <c r="F229" s="170">
        <v>24</v>
      </c>
      <c r="G229" s="172"/>
      <c r="H229" s="194"/>
      <c r="I229" s="172"/>
      <c r="J229" s="172"/>
      <c r="K229" s="258"/>
    </row>
    <row r="230" spans="1:11">
      <c r="A230" s="257" t="s">
        <v>641</v>
      </c>
      <c r="B230" s="170" t="s">
        <v>642</v>
      </c>
      <c r="C230" s="186" t="s">
        <v>34</v>
      </c>
      <c r="D230" s="186" t="s">
        <v>643</v>
      </c>
      <c r="E230" s="171" t="s">
        <v>144</v>
      </c>
      <c r="F230" s="170">
        <v>450.1</v>
      </c>
      <c r="G230" s="172"/>
      <c r="H230" s="194"/>
      <c r="I230" s="172"/>
      <c r="J230" s="172"/>
      <c r="K230" s="258"/>
    </row>
    <row r="231" spans="1:11" ht="51">
      <c r="A231" s="257" t="s">
        <v>644</v>
      </c>
      <c r="B231" s="170" t="s">
        <v>645</v>
      </c>
      <c r="C231" s="186" t="s">
        <v>34</v>
      </c>
      <c r="D231" s="186" t="s">
        <v>646</v>
      </c>
      <c r="E231" s="171" t="s">
        <v>36</v>
      </c>
      <c r="F231" s="170">
        <v>1</v>
      </c>
      <c r="G231" s="172"/>
      <c r="H231" s="194"/>
      <c r="I231" s="172"/>
      <c r="J231" s="172"/>
      <c r="K231" s="258"/>
    </row>
    <row r="232" spans="1:11" ht="25.5">
      <c r="A232" s="257" t="s">
        <v>647</v>
      </c>
      <c r="B232" s="170" t="s">
        <v>648</v>
      </c>
      <c r="C232" s="186" t="s">
        <v>34</v>
      </c>
      <c r="D232" s="186" t="s">
        <v>649</v>
      </c>
      <c r="E232" s="171" t="s">
        <v>36</v>
      </c>
      <c r="F232" s="170">
        <v>1</v>
      </c>
      <c r="G232" s="172"/>
      <c r="H232" s="194"/>
      <c r="I232" s="172"/>
      <c r="J232" s="172"/>
      <c r="K232" s="258"/>
    </row>
    <row r="233" spans="1:11" ht="25.5">
      <c r="A233" s="257" t="s">
        <v>650</v>
      </c>
      <c r="B233" s="170" t="s">
        <v>651</v>
      </c>
      <c r="C233" s="186" t="s">
        <v>34</v>
      </c>
      <c r="D233" s="186" t="s">
        <v>652</v>
      </c>
      <c r="E233" s="171" t="s">
        <v>36</v>
      </c>
      <c r="F233" s="170">
        <v>2</v>
      </c>
      <c r="G233" s="172"/>
      <c r="H233" s="194"/>
      <c r="I233" s="172"/>
      <c r="J233" s="172"/>
      <c r="K233" s="258"/>
    </row>
    <row r="234" spans="1:11" ht="38.25">
      <c r="A234" s="257" t="s">
        <v>653</v>
      </c>
      <c r="B234" s="170" t="s">
        <v>654</v>
      </c>
      <c r="C234" s="186" t="s">
        <v>43</v>
      </c>
      <c r="D234" s="186" t="s">
        <v>655</v>
      </c>
      <c r="E234" s="171" t="s">
        <v>36</v>
      </c>
      <c r="F234" s="170">
        <v>1</v>
      </c>
      <c r="G234" s="172"/>
      <c r="H234" s="194"/>
      <c r="I234" s="172"/>
      <c r="J234" s="172"/>
      <c r="K234" s="258"/>
    </row>
    <row r="235" spans="1:11" ht="38.25">
      <c r="A235" s="257" t="s">
        <v>656</v>
      </c>
      <c r="B235" s="170" t="s">
        <v>657</v>
      </c>
      <c r="C235" s="186" t="s">
        <v>43</v>
      </c>
      <c r="D235" s="186" t="s">
        <v>658</v>
      </c>
      <c r="E235" s="171" t="s">
        <v>36</v>
      </c>
      <c r="F235" s="170">
        <v>1</v>
      </c>
      <c r="G235" s="172"/>
      <c r="H235" s="194"/>
      <c r="I235" s="172"/>
      <c r="J235" s="172"/>
      <c r="K235" s="258"/>
    </row>
    <row r="236" spans="1:11" ht="25.5">
      <c r="A236" s="257" t="s">
        <v>659</v>
      </c>
      <c r="B236" s="170" t="s">
        <v>660</v>
      </c>
      <c r="C236" s="186" t="s">
        <v>34</v>
      </c>
      <c r="D236" s="186" t="s">
        <v>661</v>
      </c>
      <c r="E236" s="171" t="s">
        <v>36</v>
      </c>
      <c r="F236" s="170">
        <v>4</v>
      </c>
      <c r="G236" s="172"/>
      <c r="H236" s="194"/>
      <c r="I236" s="172"/>
      <c r="J236" s="172"/>
      <c r="K236" s="258"/>
    </row>
    <row r="237" spans="1:11" ht="38.25">
      <c r="A237" s="257" t="s">
        <v>662</v>
      </c>
      <c r="B237" s="170" t="s">
        <v>663</v>
      </c>
      <c r="C237" s="186" t="s">
        <v>43</v>
      </c>
      <c r="D237" s="186" t="s">
        <v>664</v>
      </c>
      <c r="E237" s="171" t="s">
        <v>144</v>
      </c>
      <c r="F237" s="170">
        <v>2.4</v>
      </c>
      <c r="G237" s="172"/>
      <c r="H237" s="194"/>
      <c r="I237" s="172"/>
      <c r="J237" s="172"/>
      <c r="K237" s="258"/>
    </row>
    <row r="238" spans="1:11" ht="38.25">
      <c r="A238" s="257" t="s">
        <v>665</v>
      </c>
      <c r="B238" s="170" t="s">
        <v>666</v>
      </c>
      <c r="C238" s="186" t="s">
        <v>43</v>
      </c>
      <c r="D238" s="186" t="s">
        <v>667</v>
      </c>
      <c r="E238" s="171" t="s">
        <v>144</v>
      </c>
      <c r="F238" s="170">
        <v>799.2</v>
      </c>
      <c r="G238" s="172"/>
      <c r="H238" s="194"/>
      <c r="I238" s="172"/>
      <c r="J238" s="172"/>
      <c r="K238" s="258"/>
    </row>
    <row r="239" spans="1:11" ht="38.25">
      <c r="A239" s="257" t="s">
        <v>668</v>
      </c>
      <c r="B239" s="170" t="s">
        <v>669</v>
      </c>
      <c r="C239" s="186" t="s">
        <v>43</v>
      </c>
      <c r="D239" s="186" t="s">
        <v>670</v>
      </c>
      <c r="E239" s="171" t="s">
        <v>144</v>
      </c>
      <c r="F239" s="170">
        <v>12.9</v>
      </c>
      <c r="G239" s="172"/>
      <c r="H239" s="194"/>
      <c r="I239" s="172"/>
      <c r="J239" s="172"/>
      <c r="K239" s="258"/>
    </row>
    <row r="240" spans="1:11" ht="38.25">
      <c r="A240" s="257" t="s">
        <v>671</v>
      </c>
      <c r="B240" s="170" t="s">
        <v>672</v>
      </c>
      <c r="C240" s="186" t="s">
        <v>43</v>
      </c>
      <c r="D240" s="186" t="s">
        <v>673</v>
      </c>
      <c r="E240" s="171" t="s">
        <v>144</v>
      </c>
      <c r="F240" s="170">
        <v>101.6</v>
      </c>
      <c r="G240" s="172"/>
      <c r="H240" s="194"/>
      <c r="I240" s="172"/>
      <c r="J240" s="172"/>
      <c r="K240" s="258"/>
    </row>
    <row r="241" spans="1:11" ht="38.25">
      <c r="A241" s="257" t="s">
        <v>674</v>
      </c>
      <c r="B241" s="170" t="s">
        <v>675</v>
      </c>
      <c r="C241" s="186" t="s">
        <v>43</v>
      </c>
      <c r="D241" s="186" t="s">
        <v>676</v>
      </c>
      <c r="E241" s="171" t="s">
        <v>144</v>
      </c>
      <c r="F241" s="170">
        <v>3.1</v>
      </c>
      <c r="G241" s="172"/>
      <c r="H241" s="194"/>
      <c r="I241" s="172"/>
      <c r="J241" s="172"/>
      <c r="K241" s="258"/>
    </row>
    <row r="242" spans="1:11">
      <c r="A242" s="257" t="s">
        <v>677</v>
      </c>
      <c r="B242" s="170" t="s">
        <v>678</v>
      </c>
      <c r="C242" s="186" t="s">
        <v>34</v>
      </c>
      <c r="D242" s="186" t="s">
        <v>679</v>
      </c>
      <c r="E242" s="171" t="s">
        <v>144</v>
      </c>
      <c r="F242" s="170">
        <v>1.8</v>
      </c>
      <c r="G242" s="172"/>
      <c r="H242" s="194"/>
      <c r="I242" s="172"/>
      <c r="J242" s="172"/>
      <c r="K242" s="258"/>
    </row>
    <row r="243" spans="1:11">
      <c r="A243" s="257" t="s">
        <v>680</v>
      </c>
      <c r="B243" s="170" t="s">
        <v>681</v>
      </c>
      <c r="C243" s="186" t="s">
        <v>34</v>
      </c>
      <c r="D243" s="186" t="s">
        <v>682</v>
      </c>
      <c r="E243" s="171" t="s">
        <v>144</v>
      </c>
      <c r="F243" s="170">
        <v>45.1</v>
      </c>
      <c r="G243" s="172"/>
      <c r="H243" s="194"/>
      <c r="I243" s="172"/>
      <c r="J243" s="172"/>
      <c r="K243" s="258"/>
    </row>
    <row r="244" spans="1:11" ht="39.6" customHeight="1">
      <c r="A244" s="257" t="s">
        <v>683</v>
      </c>
      <c r="B244" s="170" t="s">
        <v>684</v>
      </c>
      <c r="C244" s="186" t="s">
        <v>34</v>
      </c>
      <c r="D244" s="186" t="s">
        <v>685</v>
      </c>
      <c r="E244" s="171" t="s">
        <v>36</v>
      </c>
      <c r="F244" s="170">
        <v>6</v>
      </c>
      <c r="G244" s="172"/>
      <c r="H244" s="194"/>
      <c r="I244" s="172"/>
      <c r="J244" s="172"/>
      <c r="K244" s="258"/>
    </row>
    <row r="245" spans="1:11" ht="39.6" customHeight="1">
      <c r="A245" s="257" t="s">
        <v>686</v>
      </c>
      <c r="B245" s="170" t="s">
        <v>687</v>
      </c>
      <c r="C245" s="186" t="s">
        <v>34</v>
      </c>
      <c r="D245" s="186" t="s">
        <v>688</v>
      </c>
      <c r="E245" s="171" t="s">
        <v>36</v>
      </c>
      <c r="F245" s="170">
        <v>2</v>
      </c>
      <c r="G245" s="172"/>
      <c r="H245" s="194"/>
      <c r="I245" s="172"/>
      <c r="J245" s="172"/>
      <c r="K245" s="258"/>
    </row>
    <row r="246" spans="1:11" ht="39.6" customHeight="1">
      <c r="A246" s="257" t="s">
        <v>689</v>
      </c>
      <c r="B246" s="170" t="s">
        <v>690</v>
      </c>
      <c r="C246" s="186" t="s">
        <v>43</v>
      </c>
      <c r="D246" s="186" t="s">
        <v>691</v>
      </c>
      <c r="E246" s="171" t="s">
        <v>36</v>
      </c>
      <c r="F246" s="170">
        <v>12</v>
      </c>
      <c r="G246" s="172"/>
      <c r="H246" s="194"/>
      <c r="I246" s="172"/>
      <c r="J246" s="172"/>
      <c r="K246" s="258"/>
    </row>
    <row r="247" spans="1:11" ht="38.25">
      <c r="A247" s="257" t="s">
        <v>692</v>
      </c>
      <c r="B247" s="170" t="s">
        <v>693</v>
      </c>
      <c r="C247" s="186" t="s">
        <v>43</v>
      </c>
      <c r="D247" s="186" t="s">
        <v>694</v>
      </c>
      <c r="E247" s="171" t="s">
        <v>36</v>
      </c>
      <c r="F247" s="170">
        <v>5</v>
      </c>
      <c r="G247" s="172"/>
      <c r="H247" s="194"/>
      <c r="I247" s="172"/>
      <c r="J247" s="172"/>
      <c r="K247" s="258"/>
    </row>
    <row r="248" spans="1:11" ht="38.25">
      <c r="A248" s="257" t="s">
        <v>695</v>
      </c>
      <c r="B248" s="170" t="s">
        <v>696</v>
      </c>
      <c r="C248" s="186" t="s">
        <v>43</v>
      </c>
      <c r="D248" s="186" t="s">
        <v>697</v>
      </c>
      <c r="E248" s="171" t="s">
        <v>36</v>
      </c>
      <c r="F248" s="170">
        <v>2</v>
      </c>
      <c r="G248" s="172"/>
      <c r="H248" s="194"/>
      <c r="I248" s="172"/>
      <c r="J248" s="172"/>
      <c r="K248" s="258"/>
    </row>
    <row r="249" spans="1:11">
      <c r="A249" s="257" t="s">
        <v>698</v>
      </c>
      <c r="B249" s="170" t="s">
        <v>618</v>
      </c>
      <c r="C249" s="186" t="s">
        <v>34</v>
      </c>
      <c r="D249" s="186" t="s">
        <v>619</v>
      </c>
      <c r="E249" s="171" t="s">
        <v>36</v>
      </c>
      <c r="F249" s="170">
        <v>1</v>
      </c>
      <c r="G249" s="172"/>
      <c r="H249" s="194"/>
      <c r="I249" s="172"/>
      <c r="J249" s="172"/>
      <c r="K249" s="258"/>
    </row>
    <row r="250" spans="1:11">
      <c r="A250" s="259" t="s">
        <v>699</v>
      </c>
      <c r="B250" s="187"/>
      <c r="C250" s="187"/>
      <c r="D250" s="187" t="s">
        <v>700</v>
      </c>
      <c r="E250" s="187"/>
      <c r="F250" s="169"/>
      <c r="G250" s="187"/>
      <c r="H250" s="193"/>
      <c r="I250" s="187"/>
      <c r="J250" s="168"/>
      <c r="K250" s="260"/>
    </row>
    <row r="251" spans="1:11">
      <c r="A251" s="259" t="s">
        <v>701</v>
      </c>
      <c r="B251" s="187"/>
      <c r="C251" s="187"/>
      <c r="D251" s="187" t="s">
        <v>702</v>
      </c>
      <c r="E251" s="187"/>
      <c r="F251" s="169"/>
      <c r="G251" s="187"/>
      <c r="H251" s="193"/>
      <c r="I251" s="187"/>
      <c r="J251" s="168"/>
      <c r="K251" s="260"/>
    </row>
    <row r="252" spans="1:11" ht="25.5">
      <c r="A252" s="257" t="s">
        <v>703</v>
      </c>
      <c r="B252" s="170" t="s">
        <v>704</v>
      </c>
      <c r="C252" s="186" t="s">
        <v>43</v>
      </c>
      <c r="D252" s="186" t="s">
        <v>705</v>
      </c>
      <c r="E252" s="171" t="s">
        <v>144</v>
      </c>
      <c r="F252" s="170">
        <v>4.62</v>
      </c>
      <c r="G252" s="172"/>
      <c r="H252" s="194"/>
      <c r="I252" s="172"/>
      <c r="J252" s="172"/>
      <c r="K252" s="258"/>
    </row>
    <row r="253" spans="1:11" ht="25.5">
      <c r="A253" s="257" t="s">
        <v>706</v>
      </c>
      <c r="B253" s="170" t="s">
        <v>707</v>
      </c>
      <c r="C253" s="186" t="s">
        <v>43</v>
      </c>
      <c r="D253" s="186" t="s">
        <v>708</v>
      </c>
      <c r="E253" s="171" t="s">
        <v>144</v>
      </c>
      <c r="F253" s="170">
        <v>116.48</v>
      </c>
      <c r="G253" s="172"/>
      <c r="H253" s="194"/>
      <c r="I253" s="172"/>
      <c r="J253" s="172"/>
      <c r="K253" s="258"/>
    </row>
    <row r="254" spans="1:11" ht="25.5">
      <c r="A254" s="257" t="s">
        <v>709</v>
      </c>
      <c r="B254" s="170" t="s">
        <v>710</v>
      </c>
      <c r="C254" s="186" t="s">
        <v>43</v>
      </c>
      <c r="D254" s="186" t="s">
        <v>711</v>
      </c>
      <c r="E254" s="171" t="s">
        <v>144</v>
      </c>
      <c r="F254" s="170">
        <v>236.11</v>
      </c>
      <c r="G254" s="172"/>
      <c r="H254" s="194"/>
      <c r="I254" s="172"/>
      <c r="J254" s="172"/>
      <c r="K254" s="258"/>
    </row>
    <row r="255" spans="1:11" ht="38.25">
      <c r="A255" s="257" t="s">
        <v>712</v>
      </c>
      <c r="B255" s="170" t="s">
        <v>713</v>
      </c>
      <c r="C255" s="186" t="s">
        <v>43</v>
      </c>
      <c r="D255" s="186" t="s">
        <v>714</v>
      </c>
      <c r="E255" s="171" t="s">
        <v>36</v>
      </c>
      <c r="F255" s="170">
        <v>11</v>
      </c>
      <c r="G255" s="172"/>
      <c r="H255" s="194"/>
      <c r="I255" s="172"/>
      <c r="J255" s="172"/>
      <c r="K255" s="258"/>
    </row>
    <row r="256" spans="1:11" ht="38.25">
      <c r="A256" s="257" t="s">
        <v>715</v>
      </c>
      <c r="B256" s="170" t="s">
        <v>716</v>
      </c>
      <c r="C256" s="186" t="s">
        <v>43</v>
      </c>
      <c r="D256" s="186" t="s">
        <v>717</v>
      </c>
      <c r="E256" s="171" t="s">
        <v>36</v>
      </c>
      <c r="F256" s="170">
        <v>3</v>
      </c>
      <c r="G256" s="172"/>
      <c r="H256" s="194"/>
      <c r="I256" s="172"/>
      <c r="J256" s="172"/>
      <c r="K256" s="258"/>
    </row>
    <row r="257" spans="1:11" ht="38.25">
      <c r="A257" s="257" t="s">
        <v>718</v>
      </c>
      <c r="B257" s="170" t="s">
        <v>719</v>
      </c>
      <c r="C257" s="186" t="s">
        <v>43</v>
      </c>
      <c r="D257" s="186" t="s">
        <v>720</v>
      </c>
      <c r="E257" s="171" t="s">
        <v>36</v>
      </c>
      <c r="F257" s="170">
        <v>3</v>
      </c>
      <c r="G257" s="172"/>
      <c r="H257" s="194"/>
      <c r="I257" s="172"/>
      <c r="J257" s="172"/>
      <c r="K257" s="258"/>
    </row>
    <row r="258" spans="1:11" ht="38.25">
      <c r="A258" s="257" t="s">
        <v>721</v>
      </c>
      <c r="B258" s="170" t="s">
        <v>722</v>
      </c>
      <c r="C258" s="186" t="s">
        <v>43</v>
      </c>
      <c r="D258" s="186" t="s">
        <v>723</v>
      </c>
      <c r="E258" s="171" t="s">
        <v>36</v>
      </c>
      <c r="F258" s="170">
        <v>61</v>
      </c>
      <c r="G258" s="172"/>
      <c r="H258" s="194"/>
      <c r="I258" s="172"/>
      <c r="J258" s="172"/>
      <c r="K258" s="258"/>
    </row>
    <row r="259" spans="1:11" ht="25.5">
      <c r="A259" s="257" t="s">
        <v>724</v>
      </c>
      <c r="B259" s="170" t="s">
        <v>725</v>
      </c>
      <c r="C259" s="186" t="s">
        <v>43</v>
      </c>
      <c r="D259" s="186" t="s">
        <v>726</v>
      </c>
      <c r="E259" s="171" t="s">
        <v>36</v>
      </c>
      <c r="F259" s="170">
        <v>31</v>
      </c>
      <c r="G259" s="172"/>
      <c r="H259" s="194"/>
      <c r="I259" s="172"/>
      <c r="J259" s="172"/>
      <c r="K259" s="258"/>
    </row>
    <row r="260" spans="1:11" ht="25.5">
      <c r="A260" s="257" t="s">
        <v>727</v>
      </c>
      <c r="B260" s="170" t="s">
        <v>728</v>
      </c>
      <c r="C260" s="186" t="s">
        <v>43</v>
      </c>
      <c r="D260" s="186" t="s">
        <v>729</v>
      </c>
      <c r="E260" s="171" t="s">
        <v>36</v>
      </c>
      <c r="F260" s="170">
        <v>108</v>
      </c>
      <c r="G260" s="172"/>
      <c r="H260" s="194"/>
      <c r="I260" s="172"/>
      <c r="J260" s="172"/>
      <c r="K260" s="258"/>
    </row>
    <row r="261" spans="1:11" ht="38.25">
      <c r="A261" s="257" t="s">
        <v>730</v>
      </c>
      <c r="B261" s="170" t="s">
        <v>731</v>
      </c>
      <c r="C261" s="186" t="s">
        <v>43</v>
      </c>
      <c r="D261" s="186" t="s">
        <v>732</v>
      </c>
      <c r="E261" s="171" t="s">
        <v>36</v>
      </c>
      <c r="F261" s="170">
        <v>10</v>
      </c>
      <c r="G261" s="172"/>
      <c r="H261" s="194"/>
      <c r="I261" s="172"/>
      <c r="J261" s="172"/>
      <c r="K261" s="258"/>
    </row>
    <row r="262" spans="1:11" ht="38.25">
      <c r="A262" s="257" t="s">
        <v>733</v>
      </c>
      <c r="B262" s="170" t="s">
        <v>734</v>
      </c>
      <c r="C262" s="186" t="s">
        <v>43</v>
      </c>
      <c r="D262" s="186" t="s">
        <v>735</v>
      </c>
      <c r="E262" s="171" t="s">
        <v>36</v>
      </c>
      <c r="F262" s="170">
        <v>29</v>
      </c>
      <c r="G262" s="172"/>
      <c r="H262" s="194"/>
      <c r="I262" s="172"/>
      <c r="J262" s="172"/>
      <c r="K262" s="258"/>
    </row>
    <row r="263" spans="1:11" ht="38.25">
      <c r="A263" s="257" t="s">
        <v>736</v>
      </c>
      <c r="B263" s="170" t="s">
        <v>737</v>
      </c>
      <c r="C263" s="186" t="s">
        <v>43</v>
      </c>
      <c r="D263" s="186" t="s">
        <v>738</v>
      </c>
      <c r="E263" s="171" t="s">
        <v>36</v>
      </c>
      <c r="F263" s="170">
        <v>7</v>
      </c>
      <c r="G263" s="172"/>
      <c r="H263" s="194"/>
      <c r="I263" s="172"/>
      <c r="J263" s="172"/>
      <c r="K263" s="258"/>
    </row>
    <row r="264" spans="1:11" ht="25.5">
      <c r="A264" s="257" t="s">
        <v>739</v>
      </c>
      <c r="B264" s="170" t="s">
        <v>740</v>
      </c>
      <c r="C264" s="186" t="s">
        <v>43</v>
      </c>
      <c r="D264" s="186" t="s">
        <v>741</v>
      </c>
      <c r="E264" s="171" t="s">
        <v>36</v>
      </c>
      <c r="F264" s="170">
        <v>46</v>
      </c>
      <c r="G264" s="172"/>
      <c r="H264" s="194"/>
      <c r="I264" s="172"/>
      <c r="J264" s="172"/>
      <c r="K264" s="258"/>
    </row>
    <row r="265" spans="1:11" ht="25.5">
      <c r="A265" s="257" t="s">
        <v>742</v>
      </c>
      <c r="B265" s="170" t="s">
        <v>743</v>
      </c>
      <c r="C265" s="186" t="s">
        <v>43</v>
      </c>
      <c r="D265" s="186" t="s">
        <v>744</v>
      </c>
      <c r="E265" s="171" t="s">
        <v>36</v>
      </c>
      <c r="F265" s="170">
        <v>3</v>
      </c>
      <c r="G265" s="172"/>
      <c r="H265" s="194"/>
      <c r="I265" s="172"/>
      <c r="J265" s="172"/>
      <c r="K265" s="258"/>
    </row>
    <row r="266" spans="1:11" ht="25.5">
      <c r="A266" s="257" t="s">
        <v>745</v>
      </c>
      <c r="B266" s="170" t="s">
        <v>746</v>
      </c>
      <c r="C266" s="186" t="s">
        <v>43</v>
      </c>
      <c r="D266" s="186" t="s">
        <v>747</v>
      </c>
      <c r="E266" s="171" t="s">
        <v>36</v>
      </c>
      <c r="F266" s="170">
        <v>3</v>
      </c>
      <c r="G266" s="172"/>
      <c r="H266" s="194"/>
      <c r="I266" s="172"/>
      <c r="J266" s="172"/>
      <c r="K266" s="258"/>
    </row>
    <row r="267" spans="1:11" ht="25.5">
      <c r="A267" s="257" t="s">
        <v>748</v>
      </c>
      <c r="B267" s="170" t="s">
        <v>749</v>
      </c>
      <c r="C267" s="186" t="s">
        <v>43</v>
      </c>
      <c r="D267" s="186" t="s">
        <v>750</v>
      </c>
      <c r="E267" s="171" t="s">
        <v>36</v>
      </c>
      <c r="F267" s="170">
        <v>20</v>
      </c>
      <c r="G267" s="172"/>
      <c r="H267" s="194"/>
      <c r="I267" s="172"/>
      <c r="J267" s="172"/>
      <c r="K267" s="258"/>
    </row>
    <row r="268" spans="1:11">
      <c r="A268" s="259" t="s">
        <v>751</v>
      </c>
      <c r="B268" s="187"/>
      <c r="C268" s="187"/>
      <c r="D268" s="187" t="s">
        <v>752</v>
      </c>
      <c r="E268" s="187"/>
      <c r="F268" s="169"/>
      <c r="G268" s="187"/>
      <c r="H268" s="193"/>
      <c r="I268" s="187"/>
      <c r="J268" s="168"/>
      <c r="K268" s="260"/>
    </row>
    <row r="269" spans="1:11" ht="38.25">
      <c r="A269" s="257" t="s">
        <v>753</v>
      </c>
      <c r="B269" s="170" t="s">
        <v>754</v>
      </c>
      <c r="C269" s="186" t="s">
        <v>43</v>
      </c>
      <c r="D269" s="186" t="s">
        <v>755</v>
      </c>
      <c r="E269" s="171" t="s">
        <v>144</v>
      </c>
      <c r="F269" s="170">
        <v>464.52</v>
      </c>
      <c r="G269" s="172"/>
      <c r="H269" s="194"/>
      <c r="I269" s="172"/>
      <c r="J269" s="172"/>
      <c r="K269" s="258"/>
    </row>
    <row r="270" spans="1:11" ht="38.25">
      <c r="A270" s="257" t="s">
        <v>756</v>
      </c>
      <c r="B270" s="170" t="s">
        <v>757</v>
      </c>
      <c r="C270" s="186" t="s">
        <v>43</v>
      </c>
      <c r="D270" s="186" t="s">
        <v>758</v>
      </c>
      <c r="E270" s="171" t="s">
        <v>144</v>
      </c>
      <c r="F270" s="170">
        <v>164.14</v>
      </c>
      <c r="G270" s="172"/>
      <c r="H270" s="194"/>
      <c r="I270" s="172"/>
      <c r="J270" s="172"/>
      <c r="K270" s="258"/>
    </row>
    <row r="271" spans="1:11" ht="38.25">
      <c r="A271" s="257" t="s">
        <v>759</v>
      </c>
      <c r="B271" s="170" t="s">
        <v>760</v>
      </c>
      <c r="C271" s="186" t="s">
        <v>43</v>
      </c>
      <c r="D271" s="186" t="s">
        <v>761</v>
      </c>
      <c r="E271" s="171" t="s">
        <v>144</v>
      </c>
      <c r="F271" s="170">
        <v>3.93</v>
      </c>
      <c r="G271" s="172"/>
      <c r="H271" s="194"/>
      <c r="I271" s="172"/>
      <c r="J271" s="172"/>
      <c r="K271" s="258"/>
    </row>
    <row r="272" spans="1:11" ht="38.25">
      <c r="A272" s="257" t="s">
        <v>762</v>
      </c>
      <c r="B272" s="170" t="s">
        <v>763</v>
      </c>
      <c r="C272" s="186" t="s">
        <v>43</v>
      </c>
      <c r="D272" s="186" t="s">
        <v>764</v>
      </c>
      <c r="E272" s="171" t="s">
        <v>144</v>
      </c>
      <c r="F272" s="170">
        <v>196.3</v>
      </c>
      <c r="G272" s="172"/>
      <c r="H272" s="194"/>
      <c r="I272" s="172"/>
      <c r="J272" s="172"/>
      <c r="K272" s="258"/>
    </row>
    <row r="273" spans="1:11" ht="38.25">
      <c r="A273" s="257" t="s">
        <v>765</v>
      </c>
      <c r="B273" s="170" t="s">
        <v>766</v>
      </c>
      <c r="C273" s="186" t="s">
        <v>43</v>
      </c>
      <c r="D273" s="186" t="s">
        <v>767</v>
      </c>
      <c r="E273" s="171" t="s">
        <v>36</v>
      </c>
      <c r="F273" s="170">
        <v>3</v>
      </c>
      <c r="G273" s="172"/>
      <c r="H273" s="194"/>
      <c r="I273" s="172"/>
      <c r="J273" s="172"/>
      <c r="K273" s="258"/>
    </row>
    <row r="274" spans="1:11" ht="38.25">
      <c r="A274" s="257" t="s">
        <v>768</v>
      </c>
      <c r="B274" s="170" t="s">
        <v>769</v>
      </c>
      <c r="C274" s="186" t="s">
        <v>43</v>
      </c>
      <c r="D274" s="186" t="s">
        <v>770</v>
      </c>
      <c r="E274" s="171" t="s">
        <v>36</v>
      </c>
      <c r="F274" s="170">
        <v>80</v>
      </c>
      <c r="G274" s="172"/>
      <c r="H274" s="194"/>
      <c r="I274" s="172"/>
      <c r="J274" s="172"/>
      <c r="K274" s="258"/>
    </row>
    <row r="275" spans="1:11" ht="38.25">
      <c r="A275" s="257" t="s">
        <v>771</v>
      </c>
      <c r="B275" s="170" t="s">
        <v>772</v>
      </c>
      <c r="C275" s="186" t="s">
        <v>43</v>
      </c>
      <c r="D275" s="186" t="s">
        <v>773</v>
      </c>
      <c r="E275" s="171" t="s">
        <v>36</v>
      </c>
      <c r="F275" s="170">
        <v>14</v>
      </c>
      <c r="G275" s="172"/>
      <c r="H275" s="194"/>
      <c r="I275" s="172"/>
      <c r="J275" s="172"/>
      <c r="K275" s="258"/>
    </row>
    <row r="276" spans="1:11" ht="38.25">
      <c r="A276" s="257" t="s">
        <v>774</v>
      </c>
      <c r="B276" s="170" t="s">
        <v>775</v>
      </c>
      <c r="C276" s="186" t="s">
        <v>43</v>
      </c>
      <c r="D276" s="186" t="s">
        <v>776</v>
      </c>
      <c r="E276" s="171" t="s">
        <v>36</v>
      </c>
      <c r="F276" s="170">
        <v>16</v>
      </c>
      <c r="G276" s="172"/>
      <c r="H276" s="194"/>
      <c r="I276" s="172"/>
      <c r="J276" s="172"/>
      <c r="K276" s="258"/>
    </row>
    <row r="277" spans="1:11" ht="38.25">
      <c r="A277" s="257" t="s">
        <v>777</v>
      </c>
      <c r="B277" s="170" t="s">
        <v>778</v>
      </c>
      <c r="C277" s="186" t="s">
        <v>43</v>
      </c>
      <c r="D277" s="186" t="s">
        <v>779</v>
      </c>
      <c r="E277" s="171" t="s">
        <v>36</v>
      </c>
      <c r="F277" s="170">
        <v>2</v>
      </c>
      <c r="G277" s="172"/>
      <c r="H277" s="194"/>
      <c r="I277" s="172"/>
      <c r="J277" s="172"/>
      <c r="K277" s="258"/>
    </row>
    <row r="278" spans="1:11" ht="38.25">
      <c r="A278" s="257" t="s">
        <v>780</v>
      </c>
      <c r="B278" s="170" t="s">
        <v>781</v>
      </c>
      <c r="C278" s="186" t="s">
        <v>43</v>
      </c>
      <c r="D278" s="186" t="s">
        <v>782</v>
      </c>
      <c r="E278" s="171" t="s">
        <v>36</v>
      </c>
      <c r="F278" s="170">
        <v>46</v>
      </c>
      <c r="G278" s="172"/>
      <c r="H278" s="194"/>
      <c r="I278" s="172"/>
      <c r="J278" s="172"/>
      <c r="K278" s="258"/>
    </row>
    <row r="279" spans="1:11" ht="38.25">
      <c r="A279" s="257" t="s">
        <v>783</v>
      </c>
      <c r="B279" s="170" t="s">
        <v>784</v>
      </c>
      <c r="C279" s="186" t="s">
        <v>43</v>
      </c>
      <c r="D279" s="186" t="s">
        <v>785</v>
      </c>
      <c r="E279" s="171" t="s">
        <v>36</v>
      </c>
      <c r="F279" s="170">
        <v>17</v>
      </c>
      <c r="G279" s="172"/>
      <c r="H279" s="194"/>
      <c r="I279" s="172"/>
      <c r="J279" s="172"/>
      <c r="K279" s="258"/>
    </row>
    <row r="280" spans="1:11" ht="38.25">
      <c r="A280" s="257" t="s">
        <v>786</v>
      </c>
      <c r="B280" s="170" t="s">
        <v>787</v>
      </c>
      <c r="C280" s="186" t="s">
        <v>43</v>
      </c>
      <c r="D280" s="186" t="s">
        <v>788</v>
      </c>
      <c r="E280" s="171" t="s">
        <v>36</v>
      </c>
      <c r="F280" s="170">
        <v>2</v>
      </c>
      <c r="G280" s="172"/>
      <c r="H280" s="194"/>
      <c r="I280" s="172"/>
      <c r="J280" s="172"/>
      <c r="K280" s="258"/>
    </row>
    <row r="281" spans="1:11" ht="38.25">
      <c r="A281" s="257" t="s">
        <v>789</v>
      </c>
      <c r="B281" s="170" t="s">
        <v>790</v>
      </c>
      <c r="C281" s="186" t="s">
        <v>43</v>
      </c>
      <c r="D281" s="186" t="s">
        <v>791</v>
      </c>
      <c r="E281" s="171" t="s">
        <v>36</v>
      </c>
      <c r="F281" s="170">
        <v>25</v>
      </c>
      <c r="G281" s="172"/>
      <c r="H281" s="194"/>
      <c r="I281" s="172"/>
      <c r="J281" s="172"/>
      <c r="K281" s="258"/>
    </row>
    <row r="282" spans="1:11" ht="51">
      <c r="A282" s="257" t="s">
        <v>792</v>
      </c>
      <c r="B282" s="170" t="s">
        <v>793</v>
      </c>
      <c r="C282" s="186" t="s">
        <v>43</v>
      </c>
      <c r="D282" s="186" t="s">
        <v>794</v>
      </c>
      <c r="E282" s="171" t="s">
        <v>36</v>
      </c>
      <c r="F282" s="170">
        <v>20</v>
      </c>
      <c r="G282" s="172"/>
      <c r="H282" s="194"/>
      <c r="I282" s="172"/>
      <c r="J282" s="172"/>
      <c r="K282" s="258"/>
    </row>
    <row r="283" spans="1:11" ht="38.25">
      <c r="A283" s="257" t="s">
        <v>795</v>
      </c>
      <c r="B283" s="170" t="s">
        <v>796</v>
      </c>
      <c r="C283" s="186" t="s">
        <v>43</v>
      </c>
      <c r="D283" s="186" t="s">
        <v>797</v>
      </c>
      <c r="E283" s="171" t="s">
        <v>36</v>
      </c>
      <c r="F283" s="170">
        <v>2</v>
      </c>
      <c r="G283" s="172"/>
      <c r="H283" s="194"/>
      <c r="I283" s="172"/>
      <c r="J283" s="172"/>
      <c r="K283" s="258"/>
    </row>
    <row r="284" spans="1:11" ht="38.25">
      <c r="A284" s="257" t="s">
        <v>798</v>
      </c>
      <c r="B284" s="170" t="s">
        <v>799</v>
      </c>
      <c r="C284" s="186" t="s">
        <v>43</v>
      </c>
      <c r="D284" s="186" t="s">
        <v>800</v>
      </c>
      <c r="E284" s="171" t="s">
        <v>36</v>
      </c>
      <c r="F284" s="170">
        <v>11</v>
      </c>
      <c r="G284" s="172"/>
      <c r="H284" s="194"/>
      <c r="I284" s="172"/>
      <c r="J284" s="172"/>
      <c r="K284" s="258"/>
    </row>
    <row r="285" spans="1:11" ht="38.25">
      <c r="A285" s="257" t="s">
        <v>801</v>
      </c>
      <c r="B285" s="170" t="s">
        <v>802</v>
      </c>
      <c r="C285" s="186" t="s">
        <v>43</v>
      </c>
      <c r="D285" s="186" t="s">
        <v>803</v>
      </c>
      <c r="E285" s="171" t="s">
        <v>36</v>
      </c>
      <c r="F285" s="170">
        <v>4</v>
      </c>
      <c r="G285" s="172"/>
      <c r="H285" s="194"/>
      <c r="I285" s="172"/>
      <c r="J285" s="172"/>
      <c r="K285" s="258"/>
    </row>
    <row r="286" spans="1:11" ht="38.25">
      <c r="A286" s="257" t="s">
        <v>804</v>
      </c>
      <c r="B286" s="170" t="s">
        <v>805</v>
      </c>
      <c r="C286" s="186" t="s">
        <v>43</v>
      </c>
      <c r="D286" s="186" t="s">
        <v>806</v>
      </c>
      <c r="E286" s="171" t="s">
        <v>36</v>
      </c>
      <c r="F286" s="170">
        <v>44</v>
      </c>
      <c r="G286" s="172"/>
      <c r="H286" s="194"/>
      <c r="I286" s="172"/>
      <c r="J286" s="172"/>
      <c r="K286" s="258"/>
    </row>
    <row r="287" spans="1:11" ht="38.25">
      <c r="A287" s="257" t="s">
        <v>807</v>
      </c>
      <c r="B287" s="170" t="s">
        <v>808</v>
      </c>
      <c r="C287" s="186" t="s">
        <v>43</v>
      </c>
      <c r="D287" s="186" t="s">
        <v>809</v>
      </c>
      <c r="E287" s="171" t="s">
        <v>36</v>
      </c>
      <c r="F287" s="170">
        <v>2</v>
      </c>
      <c r="G287" s="172"/>
      <c r="H287" s="194"/>
      <c r="I287" s="172"/>
      <c r="J287" s="172"/>
      <c r="K287" s="258"/>
    </row>
    <row r="288" spans="1:11" ht="38.25">
      <c r="A288" s="257" t="s">
        <v>810</v>
      </c>
      <c r="B288" s="170" t="s">
        <v>811</v>
      </c>
      <c r="C288" s="186" t="s">
        <v>43</v>
      </c>
      <c r="D288" s="186" t="s">
        <v>812</v>
      </c>
      <c r="E288" s="171" t="s">
        <v>36</v>
      </c>
      <c r="F288" s="170">
        <v>253</v>
      </c>
      <c r="G288" s="172"/>
      <c r="H288" s="194"/>
      <c r="I288" s="172"/>
      <c r="J288" s="172"/>
      <c r="K288" s="258"/>
    </row>
    <row r="289" spans="1:11" ht="38.25">
      <c r="A289" s="257" t="s">
        <v>813</v>
      </c>
      <c r="B289" s="170" t="s">
        <v>814</v>
      </c>
      <c r="C289" s="186" t="s">
        <v>43</v>
      </c>
      <c r="D289" s="186" t="s">
        <v>815</v>
      </c>
      <c r="E289" s="171" t="s">
        <v>36</v>
      </c>
      <c r="F289" s="170">
        <v>37</v>
      </c>
      <c r="G289" s="172"/>
      <c r="H289" s="194"/>
      <c r="I289" s="172"/>
      <c r="J289" s="172"/>
      <c r="K289" s="258"/>
    </row>
    <row r="290" spans="1:11">
      <c r="A290" s="257" t="s">
        <v>816</v>
      </c>
      <c r="B290" s="170" t="s">
        <v>817</v>
      </c>
      <c r="C290" s="186" t="s">
        <v>34</v>
      </c>
      <c r="D290" s="186" t="s">
        <v>818</v>
      </c>
      <c r="E290" s="171" t="s">
        <v>31</v>
      </c>
      <c r="F290" s="170">
        <v>2</v>
      </c>
      <c r="G290" s="172"/>
      <c r="H290" s="194"/>
      <c r="I290" s="172"/>
      <c r="J290" s="172"/>
      <c r="K290" s="258"/>
    </row>
    <row r="291" spans="1:11" ht="25.5">
      <c r="A291" s="257" t="s">
        <v>819</v>
      </c>
      <c r="B291" s="170" t="s">
        <v>820</v>
      </c>
      <c r="C291" s="186" t="s">
        <v>43</v>
      </c>
      <c r="D291" s="186" t="s">
        <v>821</v>
      </c>
      <c r="E291" s="171" t="s">
        <v>36</v>
      </c>
      <c r="F291" s="170">
        <v>4</v>
      </c>
      <c r="G291" s="172"/>
      <c r="H291" s="194"/>
      <c r="I291" s="172"/>
      <c r="J291" s="172"/>
      <c r="K291" s="258"/>
    </row>
    <row r="292" spans="1:11" ht="25.5">
      <c r="A292" s="257" t="s">
        <v>822</v>
      </c>
      <c r="B292" s="170" t="s">
        <v>823</v>
      </c>
      <c r="C292" s="186" t="s">
        <v>34</v>
      </c>
      <c r="D292" s="186" t="s">
        <v>824</v>
      </c>
      <c r="E292" s="171" t="s">
        <v>31</v>
      </c>
      <c r="F292" s="170">
        <v>10</v>
      </c>
      <c r="G292" s="172"/>
      <c r="H292" s="194"/>
      <c r="I292" s="172"/>
      <c r="J292" s="172"/>
      <c r="K292" s="258"/>
    </row>
    <row r="293" spans="1:11" ht="38.25">
      <c r="A293" s="257" t="s">
        <v>825</v>
      </c>
      <c r="B293" s="170" t="s">
        <v>826</v>
      </c>
      <c r="C293" s="186" t="s">
        <v>34</v>
      </c>
      <c r="D293" s="186" t="s">
        <v>827</v>
      </c>
      <c r="E293" s="171" t="s">
        <v>36</v>
      </c>
      <c r="F293" s="170">
        <v>29</v>
      </c>
      <c r="G293" s="172"/>
      <c r="H293" s="194"/>
      <c r="I293" s="172"/>
      <c r="J293" s="172"/>
      <c r="K293" s="258"/>
    </row>
    <row r="294" spans="1:11" ht="25.5">
      <c r="A294" s="257" t="s">
        <v>828</v>
      </c>
      <c r="B294" s="170" t="s">
        <v>829</v>
      </c>
      <c r="C294" s="186" t="s">
        <v>34</v>
      </c>
      <c r="D294" s="186" t="s">
        <v>830</v>
      </c>
      <c r="E294" s="171" t="s">
        <v>36</v>
      </c>
      <c r="F294" s="170">
        <v>2</v>
      </c>
      <c r="G294" s="172"/>
      <c r="H294" s="194"/>
      <c r="I294" s="172"/>
      <c r="J294" s="172"/>
      <c r="K294" s="258"/>
    </row>
    <row r="295" spans="1:11" ht="25.5">
      <c r="A295" s="257" t="s">
        <v>831</v>
      </c>
      <c r="B295" s="170" t="s">
        <v>832</v>
      </c>
      <c r="C295" s="186" t="s">
        <v>34</v>
      </c>
      <c r="D295" s="186" t="s">
        <v>833</v>
      </c>
      <c r="E295" s="171" t="s">
        <v>31</v>
      </c>
      <c r="F295" s="170">
        <v>34</v>
      </c>
      <c r="G295" s="172"/>
      <c r="H295" s="194"/>
      <c r="I295" s="172"/>
      <c r="J295" s="172"/>
      <c r="K295" s="258"/>
    </row>
    <row r="296" spans="1:11">
      <c r="A296" s="259" t="s">
        <v>834</v>
      </c>
      <c r="B296" s="187"/>
      <c r="C296" s="187"/>
      <c r="D296" s="187" t="s">
        <v>835</v>
      </c>
      <c r="E296" s="187"/>
      <c r="F296" s="169"/>
      <c r="G296" s="187"/>
      <c r="H296" s="193"/>
      <c r="I296" s="187"/>
      <c r="J296" s="168"/>
      <c r="K296" s="260"/>
    </row>
    <row r="297" spans="1:11" ht="25.5">
      <c r="A297" s="257" t="s">
        <v>836</v>
      </c>
      <c r="B297" s="170" t="s">
        <v>837</v>
      </c>
      <c r="C297" s="186" t="s">
        <v>43</v>
      </c>
      <c r="D297" s="186" t="s">
        <v>838</v>
      </c>
      <c r="E297" s="171" t="s">
        <v>144</v>
      </c>
      <c r="F297" s="170">
        <v>467.02</v>
      </c>
      <c r="G297" s="172"/>
      <c r="H297" s="194"/>
      <c r="I297" s="172"/>
      <c r="J297" s="172"/>
      <c r="K297" s="258"/>
    </row>
    <row r="298" spans="1:11" ht="25.5">
      <c r="A298" s="257" t="s">
        <v>839</v>
      </c>
      <c r="B298" s="170" t="s">
        <v>840</v>
      </c>
      <c r="C298" s="186" t="s">
        <v>43</v>
      </c>
      <c r="D298" s="186" t="s">
        <v>841</v>
      </c>
      <c r="E298" s="171" t="s">
        <v>144</v>
      </c>
      <c r="F298" s="170">
        <v>86.65</v>
      </c>
      <c r="G298" s="172"/>
      <c r="H298" s="194"/>
      <c r="I298" s="172"/>
      <c r="J298" s="172"/>
      <c r="K298" s="258"/>
    </row>
    <row r="299" spans="1:11" ht="38.25">
      <c r="A299" s="257" t="s">
        <v>842</v>
      </c>
      <c r="B299" s="170" t="s">
        <v>843</v>
      </c>
      <c r="C299" s="186" t="s">
        <v>43</v>
      </c>
      <c r="D299" s="186" t="s">
        <v>844</v>
      </c>
      <c r="E299" s="171" t="s">
        <v>36</v>
      </c>
      <c r="F299" s="170">
        <v>9</v>
      </c>
      <c r="G299" s="172"/>
      <c r="H299" s="194"/>
      <c r="I299" s="172"/>
      <c r="J299" s="172"/>
      <c r="K299" s="258"/>
    </row>
    <row r="300" spans="1:11" ht="38.25">
      <c r="A300" s="257" t="s">
        <v>845</v>
      </c>
      <c r="B300" s="170" t="s">
        <v>846</v>
      </c>
      <c r="C300" s="186" t="s">
        <v>43</v>
      </c>
      <c r="D300" s="186" t="s">
        <v>847</v>
      </c>
      <c r="E300" s="171" t="s">
        <v>36</v>
      </c>
      <c r="F300" s="170">
        <v>27</v>
      </c>
      <c r="G300" s="172"/>
      <c r="H300" s="194"/>
      <c r="I300" s="172"/>
      <c r="J300" s="172"/>
      <c r="K300" s="258"/>
    </row>
    <row r="301" spans="1:11" ht="38.25">
      <c r="A301" s="257" t="s">
        <v>848</v>
      </c>
      <c r="B301" s="170" t="s">
        <v>849</v>
      </c>
      <c r="C301" s="186" t="s">
        <v>43</v>
      </c>
      <c r="D301" s="186" t="s">
        <v>850</v>
      </c>
      <c r="E301" s="171" t="s">
        <v>36</v>
      </c>
      <c r="F301" s="170">
        <v>1</v>
      </c>
      <c r="G301" s="172"/>
      <c r="H301" s="194"/>
      <c r="I301" s="172"/>
      <c r="J301" s="172"/>
      <c r="K301" s="258"/>
    </row>
    <row r="302" spans="1:11" ht="38.25">
      <c r="A302" s="257" t="s">
        <v>851</v>
      </c>
      <c r="B302" s="170" t="s">
        <v>852</v>
      </c>
      <c r="C302" s="186" t="s">
        <v>43</v>
      </c>
      <c r="D302" s="186" t="s">
        <v>853</v>
      </c>
      <c r="E302" s="171" t="s">
        <v>36</v>
      </c>
      <c r="F302" s="170">
        <v>46</v>
      </c>
      <c r="G302" s="172"/>
      <c r="H302" s="194"/>
      <c r="I302" s="172"/>
      <c r="J302" s="172"/>
      <c r="K302" s="258"/>
    </row>
    <row r="303" spans="1:11" ht="25.5">
      <c r="A303" s="257" t="s">
        <v>854</v>
      </c>
      <c r="B303" s="170" t="s">
        <v>855</v>
      </c>
      <c r="C303" s="186" t="s">
        <v>34</v>
      </c>
      <c r="D303" s="186" t="s">
        <v>856</v>
      </c>
      <c r="E303" s="171" t="s">
        <v>36</v>
      </c>
      <c r="F303" s="170">
        <v>52</v>
      </c>
      <c r="G303" s="172"/>
      <c r="H303" s="194"/>
      <c r="I303" s="172"/>
      <c r="J303" s="172"/>
      <c r="K303" s="258"/>
    </row>
    <row r="304" spans="1:11" ht="38.25">
      <c r="A304" s="257" t="s">
        <v>857</v>
      </c>
      <c r="B304" s="170" t="s">
        <v>858</v>
      </c>
      <c r="C304" s="186" t="s">
        <v>43</v>
      </c>
      <c r="D304" s="186" t="s">
        <v>859</v>
      </c>
      <c r="E304" s="171" t="s">
        <v>36</v>
      </c>
      <c r="F304" s="170">
        <v>39</v>
      </c>
      <c r="G304" s="172"/>
      <c r="H304" s="194"/>
      <c r="I304" s="172"/>
      <c r="J304" s="172"/>
      <c r="K304" s="258"/>
    </row>
    <row r="305" spans="1:11" ht="38.25">
      <c r="A305" s="257" t="s">
        <v>860</v>
      </c>
      <c r="B305" s="170" t="s">
        <v>861</v>
      </c>
      <c r="C305" s="186" t="s">
        <v>43</v>
      </c>
      <c r="D305" s="186" t="s">
        <v>862</v>
      </c>
      <c r="E305" s="171" t="s">
        <v>36</v>
      </c>
      <c r="F305" s="170">
        <v>3</v>
      </c>
      <c r="G305" s="172"/>
      <c r="H305" s="194"/>
      <c r="I305" s="172"/>
      <c r="J305" s="172"/>
      <c r="K305" s="258"/>
    </row>
    <row r="306" spans="1:11" ht="25.5">
      <c r="A306" s="257" t="s">
        <v>863</v>
      </c>
      <c r="B306" s="170" t="s">
        <v>864</v>
      </c>
      <c r="C306" s="186" t="s">
        <v>34</v>
      </c>
      <c r="D306" s="186" t="s">
        <v>865</v>
      </c>
      <c r="E306" s="171" t="s">
        <v>36</v>
      </c>
      <c r="F306" s="170">
        <v>20</v>
      </c>
      <c r="G306" s="172"/>
      <c r="H306" s="194"/>
      <c r="I306" s="172"/>
      <c r="J306" s="172"/>
      <c r="K306" s="258"/>
    </row>
    <row r="307" spans="1:11">
      <c r="A307" s="257" t="s">
        <v>866</v>
      </c>
      <c r="B307" s="170" t="s">
        <v>867</v>
      </c>
      <c r="C307" s="186" t="s">
        <v>34</v>
      </c>
      <c r="D307" s="186" t="s">
        <v>868</v>
      </c>
      <c r="E307" s="171" t="s">
        <v>36</v>
      </c>
      <c r="F307" s="170">
        <v>4</v>
      </c>
      <c r="G307" s="172"/>
      <c r="H307" s="194"/>
      <c r="I307" s="172"/>
      <c r="J307" s="172"/>
      <c r="K307" s="258"/>
    </row>
    <row r="308" spans="1:11" ht="38.25">
      <c r="A308" s="257" t="s">
        <v>869</v>
      </c>
      <c r="B308" s="170" t="s">
        <v>870</v>
      </c>
      <c r="C308" s="186" t="s">
        <v>43</v>
      </c>
      <c r="D308" s="186" t="s">
        <v>871</v>
      </c>
      <c r="E308" s="171" t="s">
        <v>36</v>
      </c>
      <c r="F308" s="170">
        <v>32</v>
      </c>
      <c r="G308" s="172"/>
      <c r="H308" s="194"/>
      <c r="I308" s="172"/>
      <c r="J308" s="172"/>
      <c r="K308" s="258"/>
    </row>
    <row r="309" spans="1:11" ht="38.25">
      <c r="A309" s="257" t="s">
        <v>872</v>
      </c>
      <c r="B309" s="170" t="s">
        <v>873</v>
      </c>
      <c r="C309" s="186" t="s">
        <v>43</v>
      </c>
      <c r="D309" s="186" t="s">
        <v>874</v>
      </c>
      <c r="E309" s="171" t="s">
        <v>36</v>
      </c>
      <c r="F309" s="170">
        <v>2</v>
      </c>
      <c r="G309" s="172"/>
      <c r="H309" s="194"/>
      <c r="I309" s="172"/>
      <c r="J309" s="172"/>
      <c r="K309" s="258"/>
    </row>
    <row r="310" spans="1:11">
      <c r="A310" s="259" t="s">
        <v>875</v>
      </c>
      <c r="B310" s="187"/>
      <c r="C310" s="187"/>
      <c r="D310" s="187" t="s">
        <v>876</v>
      </c>
      <c r="E310" s="187"/>
      <c r="F310" s="169"/>
      <c r="G310" s="187"/>
      <c r="H310" s="193"/>
      <c r="I310" s="187"/>
      <c r="J310" s="168"/>
      <c r="K310" s="260"/>
    </row>
    <row r="311" spans="1:11" ht="25.5">
      <c r="A311" s="257" t="s">
        <v>877</v>
      </c>
      <c r="B311" s="170" t="s">
        <v>878</v>
      </c>
      <c r="C311" s="186" t="s">
        <v>43</v>
      </c>
      <c r="D311" s="186" t="s">
        <v>879</v>
      </c>
      <c r="E311" s="171" t="s">
        <v>36</v>
      </c>
      <c r="F311" s="170">
        <v>37</v>
      </c>
      <c r="G311" s="172"/>
      <c r="H311" s="194"/>
      <c r="I311" s="172"/>
      <c r="J311" s="172"/>
      <c r="K311" s="258"/>
    </row>
    <row r="312" spans="1:11" ht="25.5">
      <c r="A312" s="257" t="s">
        <v>880</v>
      </c>
      <c r="B312" s="170" t="s">
        <v>881</v>
      </c>
      <c r="C312" s="186" t="s">
        <v>43</v>
      </c>
      <c r="D312" s="186" t="s">
        <v>882</v>
      </c>
      <c r="E312" s="171" t="s">
        <v>36</v>
      </c>
      <c r="F312" s="170">
        <v>2</v>
      </c>
      <c r="G312" s="172"/>
      <c r="H312" s="194"/>
      <c r="I312" s="172"/>
      <c r="J312" s="172"/>
      <c r="K312" s="258"/>
    </row>
    <row r="313" spans="1:11" ht="25.5">
      <c r="A313" s="257" t="s">
        <v>883</v>
      </c>
      <c r="B313" s="170" t="s">
        <v>884</v>
      </c>
      <c r="C313" s="186" t="s">
        <v>43</v>
      </c>
      <c r="D313" s="186" t="s">
        <v>885</v>
      </c>
      <c r="E313" s="171" t="s">
        <v>36</v>
      </c>
      <c r="F313" s="170">
        <v>11</v>
      </c>
      <c r="G313" s="172"/>
      <c r="H313" s="194"/>
      <c r="I313" s="172"/>
      <c r="J313" s="172"/>
      <c r="K313" s="258"/>
    </row>
    <row r="314" spans="1:11" ht="25.5">
      <c r="A314" s="257" t="s">
        <v>886</v>
      </c>
      <c r="B314" s="170" t="s">
        <v>887</v>
      </c>
      <c r="C314" s="186" t="s">
        <v>43</v>
      </c>
      <c r="D314" s="186" t="s">
        <v>888</v>
      </c>
      <c r="E314" s="171" t="s">
        <v>36</v>
      </c>
      <c r="F314" s="170">
        <v>5</v>
      </c>
      <c r="G314" s="172"/>
      <c r="H314" s="194"/>
      <c r="I314" s="172"/>
      <c r="J314" s="172"/>
      <c r="K314" s="258"/>
    </row>
    <row r="315" spans="1:11" ht="25.5">
      <c r="A315" s="257" t="s">
        <v>889</v>
      </c>
      <c r="B315" s="170" t="s">
        <v>890</v>
      </c>
      <c r="C315" s="186" t="s">
        <v>43</v>
      </c>
      <c r="D315" s="186" t="s">
        <v>891</v>
      </c>
      <c r="E315" s="171" t="s">
        <v>36</v>
      </c>
      <c r="F315" s="170">
        <v>3</v>
      </c>
      <c r="G315" s="172"/>
      <c r="H315" s="194"/>
      <c r="I315" s="172"/>
      <c r="J315" s="172"/>
      <c r="K315" s="258"/>
    </row>
    <row r="316" spans="1:11" ht="25.5">
      <c r="A316" s="257" t="s">
        <v>892</v>
      </c>
      <c r="B316" s="170" t="s">
        <v>893</v>
      </c>
      <c r="C316" s="186" t="s">
        <v>43</v>
      </c>
      <c r="D316" s="186" t="s">
        <v>894</v>
      </c>
      <c r="E316" s="171" t="s">
        <v>36</v>
      </c>
      <c r="F316" s="170">
        <v>1</v>
      </c>
      <c r="G316" s="172"/>
      <c r="H316" s="194"/>
      <c r="I316" s="172"/>
      <c r="J316" s="172"/>
      <c r="K316" s="258"/>
    </row>
    <row r="317" spans="1:11" ht="38.25">
      <c r="A317" s="257" t="s">
        <v>895</v>
      </c>
      <c r="B317" s="170" t="s">
        <v>896</v>
      </c>
      <c r="C317" s="186" t="s">
        <v>43</v>
      </c>
      <c r="D317" s="186" t="s">
        <v>897</v>
      </c>
      <c r="E317" s="171" t="s">
        <v>144</v>
      </c>
      <c r="F317" s="170">
        <v>116</v>
      </c>
      <c r="G317" s="172"/>
      <c r="H317" s="194"/>
      <c r="I317" s="172"/>
      <c r="J317" s="172"/>
      <c r="K317" s="258"/>
    </row>
    <row r="318" spans="1:11" ht="38.25">
      <c r="A318" s="257" t="s">
        <v>898</v>
      </c>
      <c r="B318" s="170" t="s">
        <v>899</v>
      </c>
      <c r="C318" s="186" t="s">
        <v>43</v>
      </c>
      <c r="D318" s="186" t="s">
        <v>900</v>
      </c>
      <c r="E318" s="171" t="s">
        <v>144</v>
      </c>
      <c r="F318" s="170">
        <v>665</v>
      </c>
      <c r="G318" s="172"/>
      <c r="H318" s="194"/>
      <c r="I318" s="172"/>
      <c r="J318" s="172"/>
      <c r="K318" s="258"/>
    </row>
    <row r="319" spans="1:11" ht="38.25">
      <c r="A319" s="257" t="s">
        <v>901</v>
      </c>
      <c r="B319" s="170" t="s">
        <v>902</v>
      </c>
      <c r="C319" s="186" t="s">
        <v>43</v>
      </c>
      <c r="D319" s="186" t="s">
        <v>903</v>
      </c>
      <c r="E319" s="171" t="s">
        <v>144</v>
      </c>
      <c r="F319" s="170">
        <v>116</v>
      </c>
      <c r="G319" s="172"/>
      <c r="H319" s="194"/>
      <c r="I319" s="172"/>
      <c r="J319" s="172"/>
      <c r="K319" s="258"/>
    </row>
    <row r="320" spans="1:11" ht="63.75">
      <c r="A320" s="257" t="s">
        <v>904</v>
      </c>
      <c r="B320" s="170" t="s">
        <v>905</v>
      </c>
      <c r="C320" s="186" t="s">
        <v>34</v>
      </c>
      <c r="D320" s="186" t="s">
        <v>906</v>
      </c>
      <c r="E320" s="171" t="s">
        <v>144</v>
      </c>
      <c r="F320" s="170">
        <v>451</v>
      </c>
      <c r="G320" s="172"/>
      <c r="H320" s="194"/>
      <c r="I320" s="172"/>
      <c r="J320" s="172"/>
      <c r="K320" s="258"/>
    </row>
    <row r="321" spans="1:11" ht="63.75">
      <c r="A321" s="257" t="s">
        <v>907</v>
      </c>
      <c r="B321" s="170" t="s">
        <v>908</v>
      </c>
      <c r="C321" s="186" t="s">
        <v>34</v>
      </c>
      <c r="D321" s="186" t="s">
        <v>909</v>
      </c>
      <c r="E321" s="171" t="s">
        <v>144</v>
      </c>
      <c r="F321" s="170">
        <v>209</v>
      </c>
      <c r="G321" s="172"/>
      <c r="H321" s="194"/>
      <c r="I321" s="172"/>
      <c r="J321" s="172"/>
      <c r="K321" s="258"/>
    </row>
    <row r="322" spans="1:11" ht="25.5">
      <c r="A322" s="257" t="s">
        <v>910</v>
      </c>
      <c r="B322" s="170" t="s">
        <v>911</v>
      </c>
      <c r="C322" s="186" t="s">
        <v>34</v>
      </c>
      <c r="D322" s="186" t="s">
        <v>912</v>
      </c>
      <c r="E322" s="171" t="s">
        <v>80</v>
      </c>
      <c r="F322" s="170">
        <v>1158</v>
      </c>
      <c r="G322" s="172"/>
      <c r="H322" s="194"/>
      <c r="I322" s="172"/>
      <c r="J322" s="172"/>
      <c r="K322" s="258"/>
    </row>
    <row r="323" spans="1:11" ht="25.5">
      <c r="A323" s="257" t="s">
        <v>913</v>
      </c>
      <c r="B323" s="170" t="s">
        <v>914</v>
      </c>
      <c r="C323" s="186" t="s">
        <v>34</v>
      </c>
      <c r="D323" s="186" t="s">
        <v>915</v>
      </c>
      <c r="E323" s="171" t="s">
        <v>144</v>
      </c>
      <c r="F323" s="170">
        <v>381</v>
      </c>
      <c r="G323" s="172"/>
      <c r="H323" s="194"/>
      <c r="I323" s="172"/>
      <c r="J323" s="172"/>
      <c r="K323" s="258"/>
    </row>
    <row r="324" spans="1:11" ht="25.5">
      <c r="A324" s="257" t="s">
        <v>916</v>
      </c>
      <c r="B324" s="170" t="s">
        <v>917</v>
      </c>
      <c r="C324" s="186" t="s">
        <v>34</v>
      </c>
      <c r="D324" s="186" t="s">
        <v>918</v>
      </c>
      <c r="E324" s="171" t="s">
        <v>36</v>
      </c>
      <c r="F324" s="170">
        <v>200</v>
      </c>
      <c r="G324" s="172"/>
      <c r="H324" s="194"/>
      <c r="I324" s="172"/>
      <c r="J324" s="172"/>
      <c r="K324" s="258"/>
    </row>
    <row r="325" spans="1:11" ht="25.5">
      <c r="A325" s="257" t="s">
        <v>919</v>
      </c>
      <c r="B325" s="170" t="s">
        <v>920</v>
      </c>
      <c r="C325" s="186" t="s">
        <v>34</v>
      </c>
      <c r="D325" s="186" t="s">
        <v>921</v>
      </c>
      <c r="E325" s="171" t="s">
        <v>36</v>
      </c>
      <c r="F325" s="170">
        <v>73</v>
      </c>
      <c r="G325" s="172"/>
      <c r="H325" s="194"/>
      <c r="I325" s="172"/>
      <c r="J325" s="172"/>
      <c r="K325" s="258"/>
    </row>
    <row r="326" spans="1:11" ht="25.5">
      <c r="A326" s="257" t="s">
        <v>922</v>
      </c>
      <c r="B326" s="170" t="s">
        <v>923</v>
      </c>
      <c r="C326" s="186" t="s">
        <v>34</v>
      </c>
      <c r="D326" s="186" t="s">
        <v>924</v>
      </c>
      <c r="E326" s="171" t="s">
        <v>36</v>
      </c>
      <c r="F326" s="170">
        <v>7</v>
      </c>
      <c r="G326" s="172"/>
      <c r="H326" s="194"/>
      <c r="I326" s="172"/>
      <c r="J326" s="172"/>
      <c r="K326" s="258"/>
    </row>
    <row r="327" spans="1:11" ht="38.25">
      <c r="A327" s="257" t="s">
        <v>925</v>
      </c>
      <c r="B327" s="170" t="s">
        <v>926</v>
      </c>
      <c r="C327" s="186" t="s">
        <v>43</v>
      </c>
      <c r="D327" s="186" t="s">
        <v>927</v>
      </c>
      <c r="E327" s="171" t="s">
        <v>144</v>
      </c>
      <c r="F327" s="170">
        <v>2060</v>
      </c>
      <c r="G327" s="172"/>
      <c r="H327" s="194"/>
      <c r="I327" s="172"/>
      <c r="J327" s="172"/>
      <c r="K327" s="258"/>
    </row>
    <row r="328" spans="1:11" ht="38.25">
      <c r="A328" s="257" t="s">
        <v>928</v>
      </c>
      <c r="B328" s="170" t="s">
        <v>929</v>
      </c>
      <c r="C328" s="186" t="s">
        <v>43</v>
      </c>
      <c r="D328" s="186" t="s">
        <v>930</v>
      </c>
      <c r="E328" s="171" t="s">
        <v>144</v>
      </c>
      <c r="F328" s="170">
        <v>1045</v>
      </c>
      <c r="G328" s="172"/>
      <c r="H328" s="194"/>
      <c r="I328" s="172"/>
      <c r="J328" s="172"/>
      <c r="K328" s="258"/>
    </row>
    <row r="329" spans="1:11" ht="38.25">
      <c r="A329" s="257" t="s">
        <v>931</v>
      </c>
      <c r="B329" s="170" t="s">
        <v>932</v>
      </c>
      <c r="C329" s="186" t="s">
        <v>34</v>
      </c>
      <c r="D329" s="186" t="s">
        <v>933</v>
      </c>
      <c r="E329" s="171" t="s">
        <v>36</v>
      </c>
      <c r="F329" s="170">
        <v>23</v>
      </c>
      <c r="G329" s="172"/>
      <c r="H329" s="194"/>
      <c r="I329" s="172"/>
      <c r="J329" s="172"/>
      <c r="K329" s="258"/>
    </row>
    <row r="330" spans="1:11" ht="25.5">
      <c r="A330" s="257" t="s">
        <v>935</v>
      </c>
      <c r="B330" s="170" t="s">
        <v>936</v>
      </c>
      <c r="C330" s="186" t="s">
        <v>34</v>
      </c>
      <c r="D330" s="186" t="s">
        <v>937</v>
      </c>
      <c r="E330" s="171" t="s">
        <v>36</v>
      </c>
      <c r="F330" s="170">
        <v>36</v>
      </c>
      <c r="G330" s="172"/>
      <c r="H330" s="194"/>
      <c r="I330" s="172"/>
      <c r="J330" s="172"/>
      <c r="K330" s="258"/>
    </row>
    <row r="331" spans="1:11" ht="51">
      <c r="A331" s="257" t="s">
        <v>938</v>
      </c>
      <c r="B331" s="170" t="s">
        <v>5703</v>
      </c>
      <c r="C331" s="186" t="s">
        <v>34</v>
      </c>
      <c r="D331" s="186" t="s">
        <v>934</v>
      </c>
      <c r="E331" s="171" t="s">
        <v>31</v>
      </c>
      <c r="F331" s="170">
        <v>7</v>
      </c>
      <c r="G331" s="172"/>
      <c r="H331" s="194"/>
      <c r="I331" s="172"/>
      <c r="J331" s="172"/>
      <c r="K331" s="258"/>
    </row>
    <row r="332" spans="1:11" ht="51">
      <c r="A332" s="257" t="s">
        <v>939</v>
      </c>
      <c r="B332" s="170" t="s">
        <v>940</v>
      </c>
      <c r="C332" s="186" t="s">
        <v>34</v>
      </c>
      <c r="D332" s="186" t="s">
        <v>941</v>
      </c>
      <c r="E332" s="171" t="s">
        <v>31</v>
      </c>
      <c r="F332" s="170">
        <v>1</v>
      </c>
      <c r="G332" s="172"/>
      <c r="H332" s="194"/>
      <c r="I332" s="172"/>
      <c r="J332" s="172"/>
      <c r="K332" s="258"/>
    </row>
    <row r="333" spans="1:11">
      <c r="A333" s="257" t="s">
        <v>942</v>
      </c>
      <c r="B333" s="170" t="s">
        <v>1201</v>
      </c>
      <c r="C333" s="186" t="s">
        <v>34</v>
      </c>
      <c r="D333" s="186" t="s">
        <v>1202</v>
      </c>
      <c r="E333" s="171" t="s">
        <v>80</v>
      </c>
      <c r="F333" s="170">
        <v>50</v>
      </c>
      <c r="G333" s="172"/>
      <c r="H333" s="194"/>
      <c r="I333" s="172"/>
      <c r="J333" s="172"/>
      <c r="K333" s="258"/>
    </row>
    <row r="334" spans="1:11">
      <c r="A334" s="257" t="s">
        <v>943</v>
      </c>
      <c r="B334" s="170" t="s">
        <v>944</v>
      </c>
      <c r="C334" s="186" t="s">
        <v>34</v>
      </c>
      <c r="D334" s="186" t="s">
        <v>945</v>
      </c>
      <c r="E334" s="171" t="s">
        <v>80</v>
      </c>
      <c r="F334" s="170">
        <v>50</v>
      </c>
      <c r="G334" s="172"/>
      <c r="H334" s="194"/>
      <c r="I334" s="172"/>
      <c r="J334" s="172"/>
      <c r="K334" s="258"/>
    </row>
    <row r="335" spans="1:11" ht="51">
      <c r="A335" s="257" t="s">
        <v>946</v>
      </c>
      <c r="B335" s="170" t="s">
        <v>947</v>
      </c>
      <c r="C335" s="186" t="s">
        <v>34</v>
      </c>
      <c r="D335" s="186" t="s">
        <v>948</v>
      </c>
      <c r="E335" s="171" t="s">
        <v>36</v>
      </c>
      <c r="F335" s="170">
        <v>15</v>
      </c>
      <c r="G335" s="172"/>
      <c r="H335" s="194"/>
      <c r="I335" s="172"/>
      <c r="J335" s="172"/>
      <c r="K335" s="258"/>
    </row>
    <row r="336" spans="1:11">
      <c r="A336" s="259" t="s">
        <v>949</v>
      </c>
      <c r="B336" s="187"/>
      <c r="C336" s="187"/>
      <c r="D336" s="187" t="s">
        <v>16</v>
      </c>
      <c r="E336" s="187"/>
      <c r="F336" s="169"/>
      <c r="G336" s="187"/>
      <c r="H336" s="193"/>
      <c r="I336" s="187"/>
      <c r="J336" s="168"/>
      <c r="K336" s="260"/>
    </row>
    <row r="337" spans="1:11">
      <c r="A337" s="259" t="s">
        <v>950</v>
      </c>
      <c r="B337" s="187"/>
      <c r="C337" s="187"/>
      <c r="D337" s="187" t="s">
        <v>76</v>
      </c>
      <c r="E337" s="187"/>
      <c r="F337" s="169"/>
      <c r="G337" s="187"/>
      <c r="H337" s="193"/>
      <c r="I337" s="187"/>
      <c r="J337" s="168"/>
      <c r="K337" s="260"/>
    </row>
    <row r="338" spans="1:11" ht="38.25">
      <c r="A338" s="257" t="s">
        <v>951</v>
      </c>
      <c r="B338" s="170" t="s">
        <v>78</v>
      </c>
      <c r="C338" s="186" t="s">
        <v>43</v>
      </c>
      <c r="D338" s="186" t="s">
        <v>79</v>
      </c>
      <c r="E338" s="171" t="s">
        <v>80</v>
      </c>
      <c r="F338" s="170">
        <v>496</v>
      </c>
      <c r="G338" s="172"/>
      <c r="H338" s="194"/>
      <c r="I338" s="172"/>
      <c r="J338" s="172"/>
      <c r="K338" s="258"/>
    </row>
    <row r="339" spans="1:11" ht="38.25">
      <c r="A339" s="257" t="s">
        <v>952</v>
      </c>
      <c r="B339" s="170" t="s">
        <v>82</v>
      </c>
      <c r="C339" s="186" t="s">
        <v>43</v>
      </c>
      <c r="D339" s="186" t="s">
        <v>83</v>
      </c>
      <c r="E339" s="171" t="s">
        <v>80</v>
      </c>
      <c r="F339" s="170">
        <v>99.55</v>
      </c>
      <c r="G339" s="172"/>
      <c r="H339" s="194"/>
      <c r="I339" s="172"/>
      <c r="J339" s="172"/>
      <c r="K339" s="258"/>
    </row>
    <row r="340" spans="1:11" ht="38.25">
      <c r="A340" s="257" t="s">
        <v>953</v>
      </c>
      <c r="B340" s="170" t="s">
        <v>85</v>
      </c>
      <c r="C340" s="186" t="s">
        <v>43</v>
      </c>
      <c r="D340" s="186" t="s">
        <v>86</v>
      </c>
      <c r="E340" s="171" t="s">
        <v>80</v>
      </c>
      <c r="F340" s="170">
        <v>108.64</v>
      </c>
      <c r="G340" s="172"/>
      <c r="H340" s="194"/>
      <c r="I340" s="172"/>
      <c r="J340" s="172"/>
      <c r="K340" s="258"/>
    </row>
    <row r="341" spans="1:11" ht="38.25">
      <c r="A341" s="257" t="s">
        <v>954</v>
      </c>
      <c r="B341" s="170" t="s">
        <v>88</v>
      </c>
      <c r="C341" s="186" t="s">
        <v>43</v>
      </c>
      <c r="D341" s="186" t="s">
        <v>89</v>
      </c>
      <c r="E341" s="171" t="s">
        <v>80</v>
      </c>
      <c r="F341" s="170">
        <v>662.64</v>
      </c>
      <c r="G341" s="172"/>
      <c r="H341" s="194"/>
      <c r="I341" s="172"/>
      <c r="J341" s="172"/>
      <c r="K341" s="258"/>
    </row>
    <row r="342" spans="1:11" ht="38.25">
      <c r="A342" s="257" t="s">
        <v>955</v>
      </c>
      <c r="B342" s="170" t="s">
        <v>91</v>
      </c>
      <c r="C342" s="186" t="s">
        <v>43</v>
      </c>
      <c r="D342" s="186" t="s">
        <v>92</v>
      </c>
      <c r="E342" s="171" t="s">
        <v>80</v>
      </c>
      <c r="F342" s="170">
        <v>1144.27</v>
      </c>
      <c r="G342" s="172"/>
      <c r="H342" s="194"/>
      <c r="I342" s="172"/>
      <c r="J342" s="172"/>
      <c r="K342" s="258"/>
    </row>
    <row r="343" spans="1:11" ht="26.45" customHeight="1">
      <c r="A343" s="257" t="s">
        <v>956</v>
      </c>
      <c r="B343" s="170" t="s">
        <v>94</v>
      </c>
      <c r="C343" s="186" t="s">
        <v>43</v>
      </c>
      <c r="D343" s="186" t="s">
        <v>95</v>
      </c>
      <c r="E343" s="171" t="s">
        <v>80</v>
      </c>
      <c r="F343" s="170">
        <v>343.72</v>
      </c>
      <c r="G343" s="172"/>
      <c r="H343" s="194"/>
      <c r="I343" s="172"/>
      <c r="J343" s="172"/>
      <c r="K343" s="258"/>
    </row>
    <row r="344" spans="1:11" ht="38.25">
      <c r="A344" s="257" t="s">
        <v>957</v>
      </c>
      <c r="B344" s="170" t="s">
        <v>958</v>
      </c>
      <c r="C344" s="186" t="s">
        <v>34</v>
      </c>
      <c r="D344" s="186" t="s">
        <v>959</v>
      </c>
      <c r="E344" s="171" t="s">
        <v>45</v>
      </c>
      <c r="F344" s="170">
        <v>319.31</v>
      </c>
      <c r="G344" s="172"/>
      <c r="H344" s="194"/>
      <c r="I344" s="172"/>
      <c r="J344" s="172"/>
      <c r="K344" s="258"/>
    </row>
    <row r="345" spans="1:11" ht="25.5">
      <c r="A345" s="257" t="s">
        <v>960</v>
      </c>
      <c r="B345" s="170" t="s">
        <v>961</v>
      </c>
      <c r="C345" s="186" t="s">
        <v>43</v>
      </c>
      <c r="D345" s="186" t="s">
        <v>962</v>
      </c>
      <c r="E345" s="171" t="s">
        <v>80</v>
      </c>
      <c r="F345" s="170">
        <v>351.25</v>
      </c>
      <c r="G345" s="172"/>
      <c r="H345" s="194"/>
      <c r="I345" s="172"/>
      <c r="J345" s="172"/>
      <c r="K345" s="258"/>
    </row>
    <row r="346" spans="1:11" ht="51">
      <c r="A346" s="257" t="s">
        <v>963</v>
      </c>
      <c r="B346" s="170" t="s">
        <v>964</v>
      </c>
      <c r="C346" s="186" t="s">
        <v>43</v>
      </c>
      <c r="D346" s="186" t="s">
        <v>965</v>
      </c>
      <c r="E346" s="171" t="s">
        <v>45</v>
      </c>
      <c r="F346" s="170">
        <v>148.88</v>
      </c>
      <c r="G346" s="172"/>
      <c r="H346" s="194"/>
      <c r="I346" s="172"/>
      <c r="J346" s="172"/>
      <c r="K346" s="258"/>
    </row>
    <row r="347" spans="1:11" ht="38.25">
      <c r="A347" s="257" t="s">
        <v>966</v>
      </c>
      <c r="B347" s="170" t="s">
        <v>967</v>
      </c>
      <c r="C347" s="186" t="s">
        <v>43</v>
      </c>
      <c r="D347" s="186" t="s">
        <v>968</v>
      </c>
      <c r="E347" s="171" t="s">
        <v>45</v>
      </c>
      <c r="F347" s="170">
        <v>284.32</v>
      </c>
      <c r="G347" s="172"/>
      <c r="H347" s="194"/>
      <c r="I347" s="172"/>
      <c r="J347" s="172"/>
      <c r="K347" s="258"/>
    </row>
    <row r="348" spans="1:11" ht="25.5">
      <c r="A348" s="257" t="s">
        <v>969</v>
      </c>
      <c r="B348" s="170" t="s">
        <v>970</v>
      </c>
      <c r="C348" s="186" t="s">
        <v>43</v>
      </c>
      <c r="D348" s="186" t="s">
        <v>971</v>
      </c>
      <c r="E348" s="171" t="s">
        <v>80</v>
      </c>
      <c r="F348" s="170">
        <v>369.92</v>
      </c>
      <c r="G348" s="172"/>
      <c r="H348" s="194"/>
      <c r="I348" s="172"/>
      <c r="J348" s="172"/>
      <c r="K348" s="258"/>
    </row>
    <row r="349" spans="1:11" ht="38.25">
      <c r="A349" s="257" t="s">
        <v>972</v>
      </c>
      <c r="B349" s="170" t="s">
        <v>124</v>
      </c>
      <c r="C349" s="186" t="s">
        <v>34</v>
      </c>
      <c r="D349" s="186" t="s">
        <v>125</v>
      </c>
      <c r="E349" s="171" t="s">
        <v>126</v>
      </c>
      <c r="F349" s="170">
        <v>56.41</v>
      </c>
      <c r="G349" s="172"/>
      <c r="H349" s="194"/>
      <c r="I349" s="172"/>
      <c r="J349" s="172"/>
      <c r="K349" s="258"/>
    </row>
    <row r="350" spans="1:11" ht="39.6" customHeight="1">
      <c r="A350" s="257" t="s">
        <v>973</v>
      </c>
      <c r="B350" s="170" t="s">
        <v>128</v>
      </c>
      <c r="C350" s="186" t="s">
        <v>34</v>
      </c>
      <c r="D350" s="186" t="s">
        <v>129</v>
      </c>
      <c r="E350" s="171" t="s">
        <v>80</v>
      </c>
      <c r="F350" s="170">
        <v>6322.38</v>
      </c>
      <c r="G350" s="172"/>
      <c r="H350" s="194"/>
      <c r="I350" s="172"/>
      <c r="J350" s="172"/>
      <c r="K350" s="258"/>
    </row>
    <row r="351" spans="1:11">
      <c r="A351" s="259" t="s">
        <v>974</v>
      </c>
      <c r="B351" s="187"/>
      <c r="C351" s="187"/>
      <c r="D351" s="187" t="s">
        <v>134</v>
      </c>
      <c r="E351" s="187"/>
      <c r="F351" s="169"/>
      <c r="G351" s="187"/>
      <c r="H351" s="193"/>
      <c r="I351" s="187"/>
      <c r="J351" s="168"/>
      <c r="K351" s="260"/>
    </row>
    <row r="352" spans="1:11" ht="38.25">
      <c r="A352" s="257" t="s">
        <v>975</v>
      </c>
      <c r="B352" s="170" t="s">
        <v>976</v>
      </c>
      <c r="C352" s="186" t="s">
        <v>43</v>
      </c>
      <c r="D352" s="186" t="s">
        <v>977</v>
      </c>
      <c r="E352" s="171" t="s">
        <v>45</v>
      </c>
      <c r="F352" s="170">
        <v>636.65</v>
      </c>
      <c r="G352" s="172"/>
      <c r="H352" s="194"/>
      <c r="I352" s="172"/>
      <c r="J352" s="172"/>
      <c r="K352" s="258"/>
    </row>
    <row r="353" spans="1:11" ht="38.25">
      <c r="A353" s="257" t="s">
        <v>978</v>
      </c>
      <c r="B353" s="170" t="s">
        <v>139</v>
      </c>
      <c r="C353" s="186" t="s">
        <v>43</v>
      </c>
      <c r="D353" s="186" t="s">
        <v>140</v>
      </c>
      <c r="E353" s="171" t="s">
        <v>45</v>
      </c>
      <c r="F353" s="170">
        <v>12.76</v>
      </c>
      <c r="G353" s="172"/>
      <c r="H353" s="194"/>
      <c r="I353" s="172"/>
      <c r="J353" s="172"/>
      <c r="K353" s="258"/>
    </row>
    <row r="354" spans="1:11" ht="25.5">
      <c r="A354" s="257" t="s">
        <v>979</v>
      </c>
      <c r="B354" s="170" t="s">
        <v>142</v>
      </c>
      <c r="C354" s="186" t="s">
        <v>43</v>
      </c>
      <c r="D354" s="186" t="s">
        <v>143</v>
      </c>
      <c r="E354" s="171" t="s">
        <v>144</v>
      </c>
      <c r="F354" s="170">
        <v>21.34</v>
      </c>
      <c r="G354" s="172"/>
      <c r="H354" s="194"/>
      <c r="I354" s="172"/>
      <c r="J354" s="172"/>
      <c r="K354" s="258"/>
    </row>
    <row r="355" spans="1:11" ht="25.5">
      <c r="A355" s="257" t="s">
        <v>980</v>
      </c>
      <c r="B355" s="170" t="s">
        <v>146</v>
      </c>
      <c r="C355" s="186" t="s">
        <v>43</v>
      </c>
      <c r="D355" s="186" t="s">
        <v>147</v>
      </c>
      <c r="E355" s="171" t="s">
        <v>144</v>
      </c>
      <c r="F355" s="170">
        <v>44.62</v>
      </c>
      <c r="G355" s="172"/>
      <c r="H355" s="194"/>
      <c r="I355" s="172"/>
      <c r="J355" s="172"/>
      <c r="K355" s="258"/>
    </row>
    <row r="356" spans="1:11">
      <c r="A356" s="257" t="s">
        <v>981</v>
      </c>
      <c r="B356" s="170" t="s">
        <v>149</v>
      </c>
      <c r="C356" s="186" t="s">
        <v>43</v>
      </c>
      <c r="D356" s="186" t="s">
        <v>150</v>
      </c>
      <c r="E356" s="171" t="s">
        <v>144</v>
      </c>
      <c r="F356" s="170">
        <v>3.58</v>
      </c>
      <c r="G356" s="172"/>
      <c r="H356" s="194"/>
      <c r="I356" s="172"/>
      <c r="J356" s="172"/>
      <c r="K356" s="258"/>
    </row>
    <row r="357" spans="1:11">
      <c r="A357" s="257" t="s">
        <v>982</v>
      </c>
      <c r="B357" s="170" t="s">
        <v>152</v>
      </c>
      <c r="C357" s="186" t="s">
        <v>43</v>
      </c>
      <c r="D357" s="186" t="s">
        <v>153</v>
      </c>
      <c r="E357" s="171" t="s">
        <v>144</v>
      </c>
      <c r="F357" s="170">
        <v>40.42</v>
      </c>
      <c r="G357" s="172"/>
      <c r="H357" s="194"/>
      <c r="I357" s="172"/>
      <c r="J357" s="172"/>
      <c r="K357" s="258"/>
    </row>
    <row r="358" spans="1:11">
      <c r="A358" s="259" t="s">
        <v>983</v>
      </c>
      <c r="B358" s="187"/>
      <c r="C358" s="187"/>
      <c r="D358" s="187" t="s">
        <v>158</v>
      </c>
      <c r="E358" s="187"/>
      <c r="F358" s="169"/>
      <c r="G358" s="187"/>
      <c r="H358" s="193"/>
      <c r="I358" s="187"/>
      <c r="J358" s="168"/>
      <c r="K358" s="260"/>
    </row>
    <row r="359" spans="1:11" ht="38.25">
      <c r="A359" s="257" t="s">
        <v>984</v>
      </c>
      <c r="B359" s="170" t="s">
        <v>163</v>
      </c>
      <c r="C359" s="186" t="s">
        <v>43</v>
      </c>
      <c r="D359" s="186" t="s">
        <v>164</v>
      </c>
      <c r="E359" s="171" t="s">
        <v>144</v>
      </c>
      <c r="F359" s="170">
        <v>49.78</v>
      </c>
      <c r="G359" s="172"/>
      <c r="H359" s="194"/>
      <c r="I359" s="172"/>
      <c r="J359" s="172"/>
      <c r="K359" s="258"/>
    </row>
    <row r="360" spans="1:11" ht="38.25">
      <c r="A360" s="257" t="s">
        <v>985</v>
      </c>
      <c r="B360" s="170" t="s">
        <v>169</v>
      </c>
      <c r="C360" s="186" t="s">
        <v>43</v>
      </c>
      <c r="D360" s="186" t="s">
        <v>170</v>
      </c>
      <c r="E360" s="171" t="s">
        <v>144</v>
      </c>
      <c r="F360" s="170">
        <v>100.31</v>
      </c>
      <c r="G360" s="172"/>
      <c r="H360" s="194"/>
      <c r="I360" s="172"/>
      <c r="J360" s="172"/>
      <c r="K360" s="258"/>
    </row>
    <row r="361" spans="1:11">
      <c r="A361" s="257" t="s">
        <v>986</v>
      </c>
      <c r="B361" s="170" t="s">
        <v>172</v>
      </c>
      <c r="C361" s="186" t="s">
        <v>34</v>
      </c>
      <c r="D361" s="186" t="s">
        <v>173</v>
      </c>
      <c r="E361" s="171" t="s">
        <v>144</v>
      </c>
      <c r="F361" s="170">
        <v>25.31</v>
      </c>
      <c r="G361" s="172"/>
      <c r="H361" s="194"/>
      <c r="I361" s="172"/>
      <c r="J361" s="172"/>
      <c r="K361" s="258"/>
    </row>
    <row r="362" spans="1:11" ht="51">
      <c r="A362" s="257" t="s">
        <v>987</v>
      </c>
      <c r="B362" s="170" t="s">
        <v>178</v>
      </c>
      <c r="C362" s="186" t="s">
        <v>43</v>
      </c>
      <c r="D362" s="186" t="s">
        <v>179</v>
      </c>
      <c r="E362" s="171" t="s">
        <v>45</v>
      </c>
      <c r="F362" s="170">
        <v>239.94</v>
      </c>
      <c r="G362" s="172"/>
      <c r="H362" s="194"/>
      <c r="I362" s="172"/>
      <c r="J362" s="172"/>
      <c r="K362" s="258"/>
    </row>
    <row r="363" spans="1:11" ht="25.5">
      <c r="A363" s="257" t="s">
        <v>988</v>
      </c>
      <c r="B363" s="170" t="s">
        <v>184</v>
      </c>
      <c r="C363" s="186" t="s">
        <v>43</v>
      </c>
      <c r="D363" s="186" t="s">
        <v>185</v>
      </c>
      <c r="E363" s="171" t="s">
        <v>45</v>
      </c>
      <c r="F363" s="170">
        <v>239.94</v>
      </c>
      <c r="G363" s="172"/>
      <c r="H363" s="194"/>
      <c r="I363" s="172"/>
      <c r="J363" s="172"/>
      <c r="K363" s="258"/>
    </row>
    <row r="364" spans="1:11" ht="25.5">
      <c r="A364" s="257" t="s">
        <v>989</v>
      </c>
      <c r="B364" s="170" t="s">
        <v>187</v>
      </c>
      <c r="C364" s="186" t="s">
        <v>43</v>
      </c>
      <c r="D364" s="186" t="s">
        <v>188</v>
      </c>
      <c r="E364" s="171" t="s">
        <v>144</v>
      </c>
      <c r="F364" s="170">
        <v>19.28</v>
      </c>
      <c r="G364" s="172"/>
      <c r="H364" s="194"/>
      <c r="I364" s="172"/>
      <c r="J364" s="172"/>
      <c r="K364" s="258"/>
    </row>
    <row r="365" spans="1:11" ht="26.45" customHeight="1">
      <c r="A365" s="257" t="s">
        <v>990</v>
      </c>
      <c r="B365" s="170" t="s">
        <v>991</v>
      </c>
      <c r="C365" s="186" t="s">
        <v>34</v>
      </c>
      <c r="D365" s="186" t="s">
        <v>992</v>
      </c>
      <c r="E365" s="171" t="s">
        <v>45</v>
      </c>
      <c r="F365" s="170">
        <v>43.43</v>
      </c>
      <c r="G365" s="172"/>
      <c r="H365" s="194"/>
      <c r="I365" s="172"/>
      <c r="J365" s="172"/>
      <c r="K365" s="258"/>
    </row>
    <row r="366" spans="1:11">
      <c r="A366" s="259" t="s">
        <v>993</v>
      </c>
      <c r="B366" s="187"/>
      <c r="C366" s="187"/>
      <c r="D366" s="187" t="s">
        <v>190</v>
      </c>
      <c r="E366" s="187"/>
      <c r="F366" s="169"/>
      <c r="G366" s="187"/>
      <c r="H366" s="193"/>
      <c r="I366" s="187"/>
      <c r="J366" s="168"/>
      <c r="K366" s="260"/>
    </row>
    <row r="367" spans="1:11" ht="25.5">
      <c r="A367" s="257" t="s">
        <v>994</v>
      </c>
      <c r="B367" s="170" t="s">
        <v>192</v>
      </c>
      <c r="C367" s="186" t="s">
        <v>43</v>
      </c>
      <c r="D367" s="186" t="s">
        <v>193</v>
      </c>
      <c r="E367" s="171" t="s">
        <v>45</v>
      </c>
      <c r="F367" s="170">
        <v>899.88</v>
      </c>
      <c r="G367" s="172"/>
      <c r="H367" s="194"/>
      <c r="I367" s="172"/>
      <c r="J367" s="172"/>
      <c r="K367" s="258"/>
    </row>
    <row r="368" spans="1:11" ht="38.25">
      <c r="A368" s="257" t="s">
        <v>995</v>
      </c>
      <c r="B368" s="170" t="s">
        <v>195</v>
      </c>
      <c r="C368" s="186" t="s">
        <v>43</v>
      </c>
      <c r="D368" s="186" t="s">
        <v>196</v>
      </c>
      <c r="E368" s="171" t="s">
        <v>45</v>
      </c>
      <c r="F368" s="170">
        <v>820.75</v>
      </c>
      <c r="G368" s="172"/>
      <c r="H368" s="194"/>
      <c r="I368" s="172"/>
      <c r="J368" s="172"/>
      <c r="K368" s="258"/>
    </row>
    <row r="369" spans="1:11" ht="25.5">
      <c r="A369" s="257" t="s">
        <v>996</v>
      </c>
      <c r="B369" s="170" t="s">
        <v>198</v>
      </c>
      <c r="C369" s="186" t="s">
        <v>43</v>
      </c>
      <c r="D369" s="186" t="s">
        <v>199</v>
      </c>
      <c r="E369" s="171" t="s">
        <v>45</v>
      </c>
      <c r="F369" s="170">
        <v>608</v>
      </c>
      <c r="G369" s="172"/>
      <c r="H369" s="194"/>
      <c r="I369" s="172"/>
      <c r="J369" s="172"/>
      <c r="K369" s="258"/>
    </row>
    <row r="370" spans="1:11" ht="25.5">
      <c r="A370" s="257" t="s">
        <v>997</v>
      </c>
      <c r="B370" s="170" t="s">
        <v>201</v>
      </c>
      <c r="C370" s="186" t="s">
        <v>43</v>
      </c>
      <c r="D370" s="186" t="s">
        <v>202</v>
      </c>
      <c r="E370" s="171" t="s">
        <v>45</v>
      </c>
      <c r="F370" s="170">
        <v>596.9</v>
      </c>
      <c r="G370" s="172"/>
      <c r="H370" s="194"/>
      <c r="I370" s="172"/>
      <c r="J370" s="172"/>
      <c r="K370" s="258"/>
    </row>
    <row r="371" spans="1:11">
      <c r="A371" s="259" t="s">
        <v>998</v>
      </c>
      <c r="B371" s="187"/>
      <c r="C371" s="187"/>
      <c r="D371" s="187" t="s">
        <v>204</v>
      </c>
      <c r="E371" s="187"/>
      <c r="F371" s="169"/>
      <c r="G371" s="187"/>
      <c r="H371" s="193"/>
      <c r="I371" s="187"/>
      <c r="J371" s="168"/>
      <c r="K371" s="260"/>
    </row>
    <row r="372" spans="1:11" ht="38.25">
      <c r="A372" s="257" t="s">
        <v>999</v>
      </c>
      <c r="B372" s="170" t="s">
        <v>206</v>
      </c>
      <c r="C372" s="186" t="s">
        <v>43</v>
      </c>
      <c r="D372" s="186" t="s">
        <v>207</v>
      </c>
      <c r="E372" s="171" t="s">
        <v>45</v>
      </c>
      <c r="F372" s="170">
        <v>597.20000000000005</v>
      </c>
      <c r="G372" s="172"/>
      <c r="H372" s="194"/>
      <c r="I372" s="172"/>
      <c r="J372" s="172"/>
      <c r="K372" s="258"/>
    </row>
    <row r="373" spans="1:11" ht="25.5">
      <c r="A373" s="257" t="s">
        <v>1000</v>
      </c>
      <c r="B373" s="170" t="s">
        <v>209</v>
      </c>
      <c r="C373" s="186" t="s">
        <v>43</v>
      </c>
      <c r="D373" s="186" t="s">
        <v>210</v>
      </c>
      <c r="E373" s="171" t="s">
        <v>45</v>
      </c>
      <c r="F373" s="170">
        <v>597.20000000000005</v>
      </c>
      <c r="G373" s="172"/>
      <c r="H373" s="194"/>
      <c r="I373" s="172"/>
      <c r="J373" s="172"/>
      <c r="K373" s="258"/>
    </row>
    <row r="374" spans="1:11" ht="25.5">
      <c r="A374" s="257" t="s">
        <v>1001</v>
      </c>
      <c r="B374" s="170" t="s">
        <v>212</v>
      </c>
      <c r="C374" s="186" t="s">
        <v>43</v>
      </c>
      <c r="D374" s="186" t="s">
        <v>213</v>
      </c>
      <c r="E374" s="171" t="s">
        <v>45</v>
      </c>
      <c r="F374" s="170">
        <v>597.20000000000005</v>
      </c>
      <c r="G374" s="172"/>
      <c r="H374" s="194"/>
      <c r="I374" s="172"/>
      <c r="J374" s="172"/>
      <c r="K374" s="258"/>
    </row>
    <row r="375" spans="1:11" ht="51">
      <c r="A375" s="257" t="s">
        <v>1002</v>
      </c>
      <c r="B375" s="170" t="s">
        <v>218</v>
      </c>
      <c r="C375" s="186" t="s">
        <v>43</v>
      </c>
      <c r="D375" s="186" t="s">
        <v>219</v>
      </c>
      <c r="E375" s="171" t="s">
        <v>45</v>
      </c>
      <c r="F375" s="170">
        <v>597.20000000000005</v>
      </c>
      <c r="G375" s="172"/>
      <c r="H375" s="194"/>
      <c r="I375" s="172"/>
      <c r="J375" s="172"/>
      <c r="K375" s="258"/>
    </row>
    <row r="376" spans="1:11" ht="38.25">
      <c r="A376" s="257" t="s">
        <v>1003</v>
      </c>
      <c r="B376" s="170" t="s">
        <v>224</v>
      </c>
      <c r="C376" s="186" t="s">
        <v>43</v>
      </c>
      <c r="D376" s="186" t="s">
        <v>225</v>
      </c>
      <c r="E376" s="171" t="s">
        <v>45</v>
      </c>
      <c r="F376" s="170">
        <v>16.52</v>
      </c>
      <c r="G376" s="172"/>
      <c r="H376" s="194"/>
      <c r="I376" s="172"/>
      <c r="J376" s="172"/>
      <c r="K376" s="258"/>
    </row>
    <row r="377" spans="1:11" ht="38.25">
      <c r="A377" s="257" t="s">
        <v>1004</v>
      </c>
      <c r="B377" s="170" t="s">
        <v>221</v>
      </c>
      <c r="C377" s="186" t="s">
        <v>43</v>
      </c>
      <c r="D377" s="186" t="s">
        <v>222</v>
      </c>
      <c r="E377" s="171" t="s">
        <v>45</v>
      </c>
      <c r="F377" s="170">
        <v>8.39</v>
      </c>
      <c r="G377" s="172"/>
      <c r="H377" s="194"/>
      <c r="I377" s="172"/>
      <c r="J377" s="172"/>
      <c r="K377" s="258"/>
    </row>
    <row r="378" spans="1:11" ht="38.25">
      <c r="A378" s="257" t="s">
        <v>1005</v>
      </c>
      <c r="B378" s="170" t="s">
        <v>1006</v>
      </c>
      <c r="C378" s="186" t="s">
        <v>43</v>
      </c>
      <c r="D378" s="186" t="s">
        <v>1007</v>
      </c>
      <c r="E378" s="171" t="s">
        <v>45</v>
      </c>
      <c r="F378" s="170">
        <v>240.38</v>
      </c>
      <c r="G378" s="172"/>
      <c r="H378" s="194"/>
      <c r="I378" s="172"/>
      <c r="J378" s="172"/>
      <c r="K378" s="258"/>
    </row>
    <row r="379" spans="1:11" ht="63.75">
      <c r="A379" s="257" t="s">
        <v>1008</v>
      </c>
      <c r="B379" s="170" t="s">
        <v>230</v>
      </c>
      <c r="C379" s="186" t="s">
        <v>43</v>
      </c>
      <c r="D379" s="186" t="s">
        <v>231</v>
      </c>
      <c r="E379" s="171" t="s">
        <v>45</v>
      </c>
      <c r="F379" s="170">
        <v>293.02</v>
      </c>
      <c r="G379" s="172"/>
      <c r="H379" s="194"/>
      <c r="I379" s="172"/>
      <c r="J379" s="172"/>
      <c r="K379" s="258"/>
    </row>
    <row r="380" spans="1:11" ht="25.5">
      <c r="A380" s="257" t="s">
        <v>1009</v>
      </c>
      <c r="B380" s="170" t="s">
        <v>236</v>
      </c>
      <c r="C380" s="186" t="s">
        <v>43</v>
      </c>
      <c r="D380" s="186" t="s">
        <v>237</v>
      </c>
      <c r="E380" s="171" t="s">
        <v>144</v>
      </c>
      <c r="F380" s="170">
        <v>18.100000000000001</v>
      </c>
      <c r="G380" s="172"/>
      <c r="H380" s="194"/>
      <c r="I380" s="172"/>
      <c r="J380" s="172"/>
      <c r="K380" s="258"/>
    </row>
    <row r="381" spans="1:11" ht="25.5">
      <c r="A381" s="257" t="s">
        <v>1010</v>
      </c>
      <c r="B381" s="170" t="s">
        <v>233</v>
      </c>
      <c r="C381" s="186" t="s">
        <v>43</v>
      </c>
      <c r="D381" s="186" t="s">
        <v>234</v>
      </c>
      <c r="E381" s="171" t="s">
        <v>144</v>
      </c>
      <c r="F381" s="170">
        <v>5.42</v>
      </c>
      <c r="G381" s="172"/>
      <c r="H381" s="194"/>
      <c r="I381" s="172"/>
      <c r="J381" s="172"/>
      <c r="K381" s="258"/>
    </row>
    <row r="382" spans="1:11" ht="38.25">
      <c r="A382" s="257" t="s">
        <v>1011</v>
      </c>
      <c r="B382" s="170" t="s">
        <v>239</v>
      </c>
      <c r="C382" s="186" t="s">
        <v>43</v>
      </c>
      <c r="D382" s="186" t="s">
        <v>240</v>
      </c>
      <c r="E382" s="171" t="s">
        <v>45</v>
      </c>
      <c r="F382" s="170">
        <v>24.3</v>
      </c>
      <c r="G382" s="172"/>
      <c r="H382" s="194"/>
      <c r="I382" s="172"/>
      <c r="J382" s="172"/>
      <c r="K382" s="258"/>
    </row>
    <row r="383" spans="1:11">
      <c r="A383" s="259" t="s">
        <v>1012</v>
      </c>
      <c r="B383" s="187"/>
      <c r="C383" s="187"/>
      <c r="D383" s="187" t="s">
        <v>257</v>
      </c>
      <c r="E383" s="187"/>
      <c r="F383" s="169"/>
      <c r="G383" s="187"/>
      <c r="H383" s="193"/>
      <c r="I383" s="187"/>
      <c r="J383" s="168"/>
      <c r="K383" s="260"/>
    </row>
    <row r="384" spans="1:11" ht="38.25">
      <c r="A384" s="257" t="s">
        <v>1013</v>
      </c>
      <c r="B384" s="170" t="s">
        <v>259</v>
      </c>
      <c r="C384" s="186" t="s">
        <v>43</v>
      </c>
      <c r="D384" s="186" t="s">
        <v>260</v>
      </c>
      <c r="E384" s="171" t="s">
        <v>45</v>
      </c>
      <c r="F384" s="170">
        <v>820.44</v>
      </c>
      <c r="G384" s="172"/>
      <c r="H384" s="194"/>
      <c r="I384" s="172"/>
      <c r="J384" s="172"/>
      <c r="K384" s="258"/>
    </row>
    <row r="385" spans="1:11" ht="51">
      <c r="A385" s="257" t="s">
        <v>1014</v>
      </c>
      <c r="B385" s="170" t="s">
        <v>262</v>
      </c>
      <c r="C385" s="186" t="s">
        <v>43</v>
      </c>
      <c r="D385" s="186" t="s">
        <v>263</v>
      </c>
      <c r="E385" s="171" t="s">
        <v>45</v>
      </c>
      <c r="F385" s="170">
        <v>151.06</v>
      </c>
      <c r="G385" s="172"/>
      <c r="H385" s="194"/>
      <c r="I385" s="172"/>
      <c r="J385" s="172"/>
      <c r="K385" s="258"/>
    </row>
    <row r="386" spans="1:11" ht="51">
      <c r="A386" s="257" t="s">
        <v>1015</v>
      </c>
      <c r="B386" s="170" t="s">
        <v>265</v>
      </c>
      <c r="C386" s="186" t="s">
        <v>43</v>
      </c>
      <c r="D386" s="186" t="s">
        <v>266</v>
      </c>
      <c r="E386" s="171" t="s">
        <v>45</v>
      </c>
      <c r="F386" s="170">
        <v>820.44</v>
      </c>
      <c r="G386" s="172"/>
      <c r="H386" s="194"/>
      <c r="I386" s="172"/>
      <c r="J386" s="172"/>
      <c r="K386" s="258"/>
    </row>
    <row r="387" spans="1:11" ht="51">
      <c r="A387" s="257" t="s">
        <v>1016</v>
      </c>
      <c r="B387" s="170" t="s">
        <v>268</v>
      </c>
      <c r="C387" s="186" t="s">
        <v>43</v>
      </c>
      <c r="D387" s="186" t="s">
        <v>269</v>
      </c>
      <c r="E387" s="171" t="s">
        <v>45</v>
      </c>
      <c r="F387" s="170">
        <v>151.06</v>
      </c>
      <c r="G387" s="172"/>
      <c r="H387" s="194"/>
      <c r="I387" s="172"/>
      <c r="J387" s="172"/>
      <c r="K387" s="258"/>
    </row>
    <row r="388" spans="1:11" ht="51">
      <c r="A388" s="257" t="s">
        <v>1017</v>
      </c>
      <c r="B388" s="170" t="s">
        <v>271</v>
      </c>
      <c r="C388" s="186" t="s">
        <v>43</v>
      </c>
      <c r="D388" s="186" t="s">
        <v>272</v>
      </c>
      <c r="E388" s="171" t="s">
        <v>45</v>
      </c>
      <c r="F388" s="170">
        <v>820.44</v>
      </c>
      <c r="G388" s="172"/>
      <c r="H388" s="194"/>
      <c r="I388" s="172"/>
      <c r="J388" s="172"/>
      <c r="K388" s="258"/>
    </row>
    <row r="389" spans="1:11" ht="25.5">
      <c r="A389" s="257" t="s">
        <v>1018</v>
      </c>
      <c r="B389" s="170" t="s">
        <v>274</v>
      </c>
      <c r="C389" s="186" t="s">
        <v>34</v>
      </c>
      <c r="D389" s="186" t="s">
        <v>275</v>
      </c>
      <c r="E389" s="171" t="s">
        <v>276</v>
      </c>
      <c r="F389" s="170">
        <v>87.76</v>
      </c>
      <c r="G389" s="172"/>
      <c r="H389" s="194"/>
      <c r="I389" s="172"/>
      <c r="J389" s="172"/>
      <c r="K389" s="258"/>
    </row>
    <row r="390" spans="1:11" ht="38.25">
      <c r="A390" s="257" t="s">
        <v>1019</v>
      </c>
      <c r="B390" s="170" t="s">
        <v>1020</v>
      </c>
      <c r="C390" s="186" t="s">
        <v>43</v>
      </c>
      <c r="D390" s="186" t="s">
        <v>1021</v>
      </c>
      <c r="E390" s="171" t="s">
        <v>45</v>
      </c>
      <c r="F390" s="170">
        <v>253.23</v>
      </c>
      <c r="G390" s="172"/>
      <c r="H390" s="194"/>
      <c r="I390" s="172"/>
      <c r="J390" s="172"/>
      <c r="K390" s="258"/>
    </row>
    <row r="391" spans="1:11" ht="38.25">
      <c r="A391" s="257" t="s">
        <v>1022</v>
      </c>
      <c r="B391" s="170" t="s">
        <v>1023</v>
      </c>
      <c r="C391" s="186" t="s">
        <v>43</v>
      </c>
      <c r="D391" s="186" t="s">
        <v>1024</v>
      </c>
      <c r="E391" s="171" t="s">
        <v>45</v>
      </c>
      <c r="F391" s="170">
        <v>253.23</v>
      </c>
      <c r="G391" s="172"/>
      <c r="H391" s="194"/>
      <c r="I391" s="172"/>
      <c r="J391" s="172"/>
      <c r="K391" s="258"/>
    </row>
    <row r="392" spans="1:11">
      <c r="A392" s="259" t="s">
        <v>1025</v>
      </c>
      <c r="B392" s="187"/>
      <c r="C392" s="187"/>
      <c r="D392" s="187" t="s">
        <v>294</v>
      </c>
      <c r="E392" s="187"/>
      <c r="F392" s="169"/>
      <c r="G392" s="187"/>
      <c r="H392" s="193"/>
      <c r="I392" s="187"/>
      <c r="J392" s="168"/>
      <c r="K392" s="260"/>
    </row>
    <row r="393" spans="1:11" ht="25.5">
      <c r="A393" s="257" t="s">
        <v>1026</v>
      </c>
      <c r="B393" s="170" t="s">
        <v>299</v>
      </c>
      <c r="C393" s="186" t="s">
        <v>43</v>
      </c>
      <c r="D393" s="186" t="s">
        <v>300</v>
      </c>
      <c r="E393" s="171" t="s">
        <v>45</v>
      </c>
      <c r="F393" s="170">
        <v>253.23</v>
      </c>
      <c r="G393" s="172"/>
      <c r="H393" s="194"/>
      <c r="I393" s="172"/>
      <c r="J393" s="172"/>
      <c r="K393" s="258"/>
    </row>
    <row r="394" spans="1:11">
      <c r="A394" s="259" t="s">
        <v>1027</v>
      </c>
      <c r="B394" s="187"/>
      <c r="C394" s="187"/>
      <c r="D394" s="187" t="s">
        <v>302</v>
      </c>
      <c r="E394" s="187"/>
      <c r="F394" s="169"/>
      <c r="G394" s="187"/>
      <c r="H394" s="193"/>
      <c r="I394" s="187"/>
      <c r="J394" s="168"/>
      <c r="K394" s="260"/>
    </row>
    <row r="395" spans="1:11" ht="25.5">
      <c r="A395" s="257" t="s">
        <v>1028</v>
      </c>
      <c r="B395" s="170" t="s">
        <v>1029</v>
      </c>
      <c r="C395" s="186" t="s">
        <v>34</v>
      </c>
      <c r="D395" s="186" t="s">
        <v>1030</v>
      </c>
      <c r="E395" s="171" t="s">
        <v>36</v>
      </c>
      <c r="F395" s="170">
        <v>1</v>
      </c>
      <c r="G395" s="172"/>
      <c r="H395" s="194"/>
      <c r="I395" s="172"/>
      <c r="J395" s="172"/>
      <c r="K395" s="258"/>
    </row>
    <row r="396" spans="1:11">
      <c r="A396" s="257" t="s">
        <v>1031</v>
      </c>
      <c r="B396" s="170" t="s">
        <v>1032</v>
      </c>
      <c r="C396" s="186" t="s">
        <v>34</v>
      </c>
      <c r="D396" s="186" t="s">
        <v>1033</v>
      </c>
      <c r="E396" s="171" t="s">
        <v>45</v>
      </c>
      <c r="F396" s="170">
        <v>6.9</v>
      </c>
      <c r="G396" s="172"/>
      <c r="H396" s="194"/>
      <c r="I396" s="172"/>
      <c r="J396" s="172"/>
      <c r="K396" s="258"/>
    </row>
    <row r="397" spans="1:11">
      <c r="A397" s="257" t="s">
        <v>1034</v>
      </c>
      <c r="B397" s="170" t="s">
        <v>319</v>
      </c>
      <c r="C397" s="186" t="s">
        <v>34</v>
      </c>
      <c r="D397" s="186" t="s">
        <v>320</v>
      </c>
      <c r="E397" s="171" t="s">
        <v>45</v>
      </c>
      <c r="F397" s="170">
        <v>24.86</v>
      </c>
      <c r="G397" s="172"/>
      <c r="H397" s="194"/>
      <c r="I397" s="172"/>
      <c r="J397" s="172"/>
      <c r="K397" s="258"/>
    </row>
    <row r="398" spans="1:11" ht="38.25">
      <c r="A398" s="257" t="s">
        <v>1035</v>
      </c>
      <c r="B398" s="170" t="s">
        <v>1036</v>
      </c>
      <c r="C398" s="186" t="s">
        <v>43</v>
      </c>
      <c r="D398" s="186" t="s">
        <v>1037</v>
      </c>
      <c r="E398" s="171" t="s">
        <v>45</v>
      </c>
      <c r="F398" s="170">
        <v>14.4</v>
      </c>
      <c r="G398" s="172"/>
      <c r="H398" s="194"/>
      <c r="I398" s="172"/>
      <c r="J398" s="172"/>
      <c r="K398" s="258"/>
    </row>
    <row r="399" spans="1:11" ht="38.25">
      <c r="A399" s="257" t="s">
        <v>1038</v>
      </c>
      <c r="B399" s="170" t="s">
        <v>331</v>
      </c>
      <c r="C399" s="186" t="s">
        <v>43</v>
      </c>
      <c r="D399" s="186" t="s">
        <v>332</v>
      </c>
      <c r="E399" s="171" t="s">
        <v>45</v>
      </c>
      <c r="F399" s="170">
        <v>17.010000000000002</v>
      </c>
      <c r="G399" s="172"/>
      <c r="H399" s="194"/>
      <c r="I399" s="172"/>
      <c r="J399" s="172"/>
      <c r="K399" s="258"/>
    </row>
    <row r="400" spans="1:11" ht="38.25">
      <c r="A400" s="257" t="s">
        <v>1039</v>
      </c>
      <c r="B400" s="170" t="s">
        <v>328</v>
      </c>
      <c r="C400" s="186" t="s">
        <v>34</v>
      </c>
      <c r="D400" s="186" t="s">
        <v>329</v>
      </c>
      <c r="E400" s="171" t="s">
        <v>31</v>
      </c>
      <c r="F400" s="170">
        <v>1</v>
      </c>
      <c r="G400" s="172"/>
      <c r="H400" s="194"/>
      <c r="I400" s="172"/>
      <c r="J400" s="172"/>
      <c r="K400" s="258"/>
    </row>
    <row r="401" spans="1:11" ht="25.5">
      <c r="A401" s="257" t="s">
        <v>1040</v>
      </c>
      <c r="B401" s="170" t="s">
        <v>1041</v>
      </c>
      <c r="C401" s="186" t="s">
        <v>43</v>
      </c>
      <c r="D401" s="186" t="s">
        <v>1042</v>
      </c>
      <c r="E401" s="171" t="s">
        <v>45</v>
      </c>
      <c r="F401" s="170">
        <v>7.56</v>
      </c>
      <c r="G401" s="172"/>
      <c r="H401" s="194"/>
      <c r="I401" s="172"/>
      <c r="J401" s="172"/>
      <c r="K401" s="258"/>
    </row>
    <row r="402" spans="1:11" ht="25.5">
      <c r="A402" s="257" t="s">
        <v>1043</v>
      </c>
      <c r="B402" s="170" t="s">
        <v>310</v>
      </c>
      <c r="C402" s="186" t="s">
        <v>34</v>
      </c>
      <c r="D402" s="186" t="s">
        <v>311</v>
      </c>
      <c r="E402" s="171" t="s">
        <v>31</v>
      </c>
      <c r="F402" s="170">
        <v>3</v>
      </c>
      <c r="G402" s="172"/>
      <c r="H402" s="194"/>
      <c r="I402" s="172"/>
      <c r="J402" s="172"/>
      <c r="K402" s="258"/>
    </row>
    <row r="403" spans="1:11" ht="38.25">
      <c r="A403" s="257" t="s">
        <v>1044</v>
      </c>
      <c r="B403" s="170" t="s">
        <v>340</v>
      </c>
      <c r="C403" s="186" t="s">
        <v>43</v>
      </c>
      <c r="D403" s="186" t="s">
        <v>341</v>
      </c>
      <c r="E403" s="171" t="s">
        <v>45</v>
      </c>
      <c r="F403" s="170">
        <v>10.92</v>
      </c>
      <c r="G403" s="172"/>
      <c r="H403" s="194"/>
      <c r="I403" s="172"/>
      <c r="J403" s="172"/>
      <c r="K403" s="258"/>
    </row>
    <row r="404" spans="1:11">
      <c r="A404" s="257" t="s">
        <v>1045</v>
      </c>
      <c r="B404" s="170" t="s">
        <v>1046</v>
      </c>
      <c r="C404" s="186" t="s">
        <v>34</v>
      </c>
      <c r="D404" s="186" t="s">
        <v>1047</v>
      </c>
      <c r="E404" s="171" t="s">
        <v>45</v>
      </c>
      <c r="F404" s="170">
        <v>24.86</v>
      </c>
      <c r="G404" s="172"/>
      <c r="H404" s="194"/>
      <c r="I404" s="172"/>
      <c r="J404" s="172"/>
      <c r="K404" s="258"/>
    </row>
    <row r="405" spans="1:11" ht="25.5">
      <c r="A405" s="257" t="s">
        <v>1048</v>
      </c>
      <c r="B405" s="170" t="s">
        <v>343</v>
      </c>
      <c r="C405" s="186" t="s">
        <v>43</v>
      </c>
      <c r="D405" s="186" t="s">
        <v>344</v>
      </c>
      <c r="E405" s="171" t="s">
        <v>45</v>
      </c>
      <c r="F405" s="170">
        <v>5.85</v>
      </c>
      <c r="G405" s="172"/>
      <c r="H405" s="194"/>
      <c r="I405" s="172"/>
      <c r="J405" s="172"/>
      <c r="K405" s="258"/>
    </row>
    <row r="406" spans="1:11">
      <c r="A406" s="259" t="s">
        <v>1049</v>
      </c>
      <c r="B406" s="187"/>
      <c r="C406" s="187"/>
      <c r="D406" s="187" t="s">
        <v>349</v>
      </c>
      <c r="E406" s="187"/>
      <c r="F406" s="169"/>
      <c r="G406" s="187"/>
      <c r="H406" s="193"/>
      <c r="I406" s="187"/>
      <c r="J406" s="168"/>
      <c r="K406" s="260"/>
    </row>
    <row r="407" spans="1:11" ht="25.5">
      <c r="A407" s="257" t="s">
        <v>1050</v>
      </c>
      <c r="B407" s="170" t="s">
        <v>360</v>
      </c>
      <c r="C407" s="186" t="s">
        <v>43</v>
      </c>
      <c r="D407" s="186" t="s">
        <v>361</v>
      </c>
      <c r="E407" s="171" t="s">
        <v>45</v>
      </c>
      <c r="F407" s="170">
        <v>50.95</v>
      </c>
      <c r="G407" s="172"/>
      <c r="H407" s="194"/>
      <c r="I407" s="172"/>
      <c r="J407" s="172"/>
      <c r="K407" s="258"/>
    </row>
    <row r="408" spans="1:11" ht="25.5">
      <c r="A408" s="257" t="s">
        <v>1051</v>
      </c>
      <c r="B408" s="170" t="s">
        <v>363</v>
      </c>
      <c r="C408" s="186" t="s">
        <v>43</v>
      </c>
      <c r="D408" s="186" t="s">
        <v>364</v>
      </c>
      <c r="E408" s="171" t="s">
        <v>45</v>
      </c>
      <c r="F408" s="170">
        <v>50.95</v>
      </c>
      <c r="G408" s="172"/>
      <c r="H408" s="194"/>
      <c r="I408" s="172"/>
      <c r="J408" s="172"/>
      <c r="K408" s="258"/>
    </row>
    <row r="409" spans="1:11" ht="25.5">
      <c r="A409" s="257" t="s">
        <v>1052</v>
      </c>
      <c r="B409" s="170" t="s">
        <v>366</v>
      </c>
      <c r="C409" s="186" t="s">
        <v>43</v>
      </c>
      <c r="D409" s="186" t="s">
        <v>367</v>
      </c>
      <c r="E409" s="171" t="s">
        <v>45</v>
      </c>
      <c r="F409" s="170">
        <v>50.95</v>
      </c>
      <c r="G409" s="172"/>
      <c r="H409" s="194"/>
      <c r="I409" s="172"/>
      <c r="J409" s="172"/>
      <c r="K409" s="258"/>
    </row>
    <row r="410" spans="1:11">
      <c r="A410" s="259" t="s">
        <v>1053</v>
      </c>
      <c r="B410" s="187"/>
      <c r="C410" s="187"/>
      <c r="D410" s="187" t="s">
        <v>375</v>
      </c>
      <c r="E410" s="187"/>
      <c r="F410" s="169"/>
      <c r="G410" s="187"/>
      <c r="H410" s="193"/>
      <c r="I410" s="187"/>
      <c r="J410" s="168"/>
      <c r="K410" s="260"/>
    </row>
    <row r="411" spans="1:11" ht="25.5">
      <c r="A411" s="257" t="s">
        <v>1054</v>
      </c>
      <c r="B411" s="170" t="s">
        <v>377</v>
      </c>
      <c r="C411" s="186" t="s">
        <v>43</v>
      </c>
      <c r="D411" s="186" t="s">
        <v>378</v>
      </c>
      <c r="E411" s="171" t="s">
        <v>36</v>
      </c>
      <c r="F411" s="170">
        <v>8</v>
      </c>
      <c r="G411" s="172"/>
      <c r="H411" s="194"/>
      <c r="I411" s="172"/>
      <c r="J411" s="172"/>
      <c r="K411" s="258"/>
    </row>
    <row r="412" spans="1:11" ht="51">
      <c r="A412" s="257" t="s">
        <v>1055</v>
      </c>
      <c r="B412" s="170" t="s">
        <v>389</v>
      </c>
      <c r="C412" s="186" t="s">
        <v>34</v>
      </c>
      <c r="D412" s="186" t="s">
        <v>390</v>
      </c>
      <c r="E412" s="171" t="s">
        <v>31</v>
      </c>
      <c r="F412" s="170">
        <v>2</v>
      </c>
      <c r="G412" s="172"/>
      <c r="H412" s="194"/>
      <c r="I412" s="172"/>
      <c r="J412" s="172"/>
      <c r="K412" s="258"/>
    </row>
    <row r="413" spans="1:11" ht="25.5">
      <c r="A413" s="257" t="s">
        <v>1056</v>
      </c>
      <c r="B413" s="170" t="s">
        <v>383</v>
      </c>
      <c r="C413" s="186" t="s">
        <v>43</v>
      </c>
      <c r="D413" s="186" t="s">
        <v>384</v>
      </c>
      <c r="E413" s="171" t="s">
        <v>36</v>
      </c>
      <c r="F413" s="170">
        <v>8</v>
      </c>
      <c r="G413" s="172"/>
      <c r="H413" s="194"/>
      <c r="I413" s="172"/>
      <c r="J413" s="172"/>
      <c r="K413" s="258"/>
    </row>
    <row r="414" spans="1:11" ht="25.5">
      <c r="A414" s="257" t="s">
        <v>1057</v>
      </c>
      <c r="B414" s="170" t="s">
        <v>386</v>
      </c>
      <c r="C414" s="186" t="s">
        <v>43</v>
      </c>
      <c r="D414" s="186" t="s">
        <v>387</v>
      </c>
      <c r="E414" s="171" t="s">
        <v>36</v>
      </c>
      <c r="F414" s="170">
        <v>4</v>
      </c>
      <c r="G414" s="172"/>
      <c r="H414" s="194"/>
      <c r="I414" s="172"/>
      <c r="J414" s="172"/>
      <c r="K414" s="258"/>
    </row>
    <row r="415" spans="1:11" ht="38.25">
      <c r="A415" s="257" t="s">
        <v>1058</v>
      </c>
      <c r="B415" s="170" t="s">
        <v>1059</v>
      </c>
      <c r="C415" s="186" t="s">
        <v>43</v>
      </c>
      <c r="D415" s="186" t="s">
        <v>1060</v>
      </c>
      <c r="E415" s="171" t="s">
        <v>36</v>
      </c>
      <c r="F415" s="170">
        <v>9</v>
      </c>
      <c r="G415" s="172"/>
      <c r="H415" s="194"/>
      <c r="I415" s="172"/>
      <c r="J415" s="172"/>
      <c r="K415" s="258"/>
    </row>
    <row r="416" spans="1:11" ht="38.25">
      <c r="A416" s="257" t="s">
        <v>1061</v>
      </c>
      <c r="B416" s="170" t="s">
        <v>392</v>
      </c>
      <c r="C416" s="186" t="s">
        <v>43</v>
      </c>
      <c r="D416" s="186" t="s">
        <v>393</v>
      </c>
      <c r="E416" s="171" t="s">
        <v>36</v>
      </c>
      <c r="F416" s="170">
        <v>8</v>
      </c>
      <c r="G416" s="172"/>
      <c r="H416" s="194"/>
      <c r="I416" s="172"/>
      <c r="J416" s="172"/>
      <c r="K416" s="258"/>
    </row>
    <row r="417" spans="1:11" ht="38.25">
      <c r="A417" s="257" t="s">
        <v>1062</v>
      </c>
      <c r="B417" s="170" t="s">
        <v>395</v>
      </c>
      <c r="C417" s="186" t="s">
        <v>43</v>
      </c>
      <c r="D417" s="186" t="s">
        <v>396</v>
      </c>
      <c r="E417" s="171" t="s">
        <v>36</v>
      </c>
      <c r="F417" s="170">
        <v>8</v>
      </c>
      <c r="G417" s="172"/>
      <c r="H417" s="194"/>
      <c r="I417" s="172"/>
      <c r="J417" s="172"/>
      <c r="K417" s="258"/>
    </row>
    <row r="418" spans="1:11" ht="25.5">
      <c r="A418" s="257" t="s">
        <v>1063</v>
      </c>
      <c r="B418" s="170" t="s">
        <v>398</v>
      </c>
      <c r="C418" s="186" t="s">
        <v>43</v>
      </c>
      <c r="D418" s="186" t="s">
        <v>399</v>
      </c>
      <c r="E418" s="171" t="s">
        <v>36</v>
      </c>
      <c r="F418" s="170">
        <v>3</v>
      </c>
      <c r="G418" s="172"/>
      <c r="H418" s="194"/>
      <c r="I418" s="172"/>
      <c r="J418" s="172"/>
      <c r="K418" s="258"/>
    </row>
    <row r="419" spans="1:11" ht="25.5">
      <c r="A419" s="257" t="s">
        <v>1064</v>
      </c>
      <c r="B419" s="170" t="s">
        <v>425</v>
      </c>
      <c r="C419" s="186" t="s">
        <v>43</v>
      </c>
      <c r="D419" s="186" t="s">
        <v>426</v>
      </c>
      <c r="E419" s="171" t="s">
        <v>36</v>
      </c>
      <c r="F419" s="170">
        <v>10</v>
      </c>
      <c r="G419" s="172"/>
      <c r="H419" s="194"/>
      <c r="I419" s="172"/>
      <c r="J419" s="172"/>
      <c r="K419" s="258"/>
    </row>
    <row r="420" spans="1:11" ht="25.5">
      <c r="A420" s="257" t="s">
        <v>1065</v>
      </c>
      <c r="B420" s="170" t="s">
        <v>404</v>
      </c>
      <c r="C420" s="186" t="s">
        <v>43</v>
      </c>
      <c r="D420" s="186" t="s">
        <v>405</v>
      </c>
      <c r="E420" s="171" t="s">
        <v>36</v>
      </c>
      <c r="F420" s="170">
        <v>6</v>
      </c>
      <c r="G420" s="172"/>
      <c r="H420" s="194"/>
      <c r="I420" s="172"/>
      <c r="J420" s="172"/>
      <c r="K420" s="258"/>
    </row>
    <row r="421" spans="1:11">
      <c r="A421" s="257" t="s">
        <v>1066</v>
      </c>
      <c r="B421" s="170" t="s">
        <v>416</v>
      </c>
      <c r="C421" s="186" t="s">
        <v>34</v>
      </c>
      <c r="D421" s="186" t="s">
        <v>417</v>
      </c>
      <c r="E421" s="171" t="s">
        <v>36</v>
      </c>
      <c r="F421" s="170">
        <v>3</v>
      </c>
      <c r="G421" s="172"/>
      <c r="H421" s="194"/>
      <c r="I421" s="172"/>
      <c r="J421" s="172"/>
      <c r="K421" s="258"/>
    </row>
    <row r="422" spans="1:11" ht="25.5">
      <c r="A422" s="257" t="s">
        <v>1067</v>
      </c>
      <c r="B422" s="170" t="s">
        <v>419</v>
      </c>
      <c r="C422" s="186" t="s">
        <v>43</v>
      </c>
      <c r="D422" s="186" t="s">
        <v>420</v>
      </c>
      <c r="E422" s="171" t="s">
        <v>36</v>
      </c>
      <c r="F422" s="170">
        <v>6</v>
      </c>
      <c r="G422" s="172"/>
      <c r="H422" s="194"/>
      <c r="I422" s="172"/>
      <c r="J422" s="172"/>
      <c r="K422" s="258"/>
    </row>
    <row r="423" spans="1:11">
      <c r="A423" s="257" t="s">
        <v>1068</v>
      </c>
      <c r="B423" s="170" t="s">
        <v>431</v>
      </c>
      <c r="C423" s="186" t="s">
        <v>34</v>
      </c>
      <c r="D423" s="186" t="s">
        <v>432</v>
      </c>
      <c r="E423" s="171" t="s">
        <v>45</v>
      </c>
      <c r="F423" s="170">
        <v>4</v>
      </c>
      <c r="G423" s="172"/>
      <c r="H423" s="194"/>
      <c r="I423" s="172"/>
      <c r="J423" s="172"/>
      <c r="K423" s="258"/>
    </row>
    <row r="424" spans="1:11" ht="25.5">
      <c r="A424" s="257" t="s">
        <v>1069</v>
      </c>
      <c r="B424" s="170" t="s">
        <v>401</v>
      </c>
      <c r="C424" s="186" t="s">
        <v>43</v>
      </c>
      <c r="D424" s="186" t="s">
        <v>402</v>
      </c>
      <c r="E424" s="171" t="s">
        <v>36</v>
      </c>
      <c r="F424" s="170">
        <v>6</v>
      </c>
      <c r="G424" s="172"/>
      <c r="H424" s="194"/>
      <c r="I424" s="172"/>
      <c r="J424" s="172"/>
      <c r="K424" s="258"/>
    </row>
    <row r="425" spans="1:11" ht="25.5">
      <c r="A425" s="257" t="s">
        <v>1070</v>
      </c>
      <c r="B425" s="170" t="s">
        <v>434</v>
      </c>
      <c r="C425" s="186" t="s">
        <v>34</v>
      </c>
      <c r="D425" s="186" t="s">
        <v>435</v>
      </c>
      <c r="E425" s="171" t="s">
        <v>36</v>
      </c>
      <c r="F425" s="170">
        <v>8</v>
      </c>
      <c r="G425" s="172"/>
      <c r="H425" s="194"/>
      <c r="I425" s="172"/>
      <c r="J425" s="172"/>
      <c r="K425" s="258"/>
    </row>
    <row r="426" spans="1:11" ht="25.5">
      <c r="A426" s="257" t="s">
        <v>1071</v>
      </c>
      <c r="B426" s="170" t="s">
        <v>437</v>
      </c>
      <c r="C426" s="186" t="s">
        <v>34</v>
      </c>
      <c r="D426" s="186" t="s">
        <v>438</v>
      </c>
      <c r="E426" s="171" t="s">
        <v>36</v>
      </c>
      <c r="F426" s="170">
        <v>8</v>
      </c>
      <c r="G426" s="172"/>
      <c r="H426" s="194"/>
      <c r="I426" s="172"/>
      <c r="J426" s="172"/>
      <c r="K426" s="258"/>
    </row>
    <row r="427" spans="1:11" ht="25.5">
      <c r="A427" s="257" t="s">
        <v>1072</v>
      </c>
      <c r="B427" s="170" t="s">
        <v>443</v>
      </c>
      <c r="C427" s="186" t="s">
        <v>34</v>
      </c>
      <c r="D427" s="186" t="s">
        <v>444</v>
      </c>
      <c r="E427" s="171" t="s">
        <v>36</v>
      </c>
      <c r="F427" s="170">
        <v>8</v>
      </c>
      <c r="G427" s="172"/>
      <c r="H427" s="194"/>
      <c r="I427" s="172"/>
      <c r="J427" s="172"/>
      <c r="K427" s="258"/>
    </row>
    <row r="428" spans="1:11">
      <c r="A428" s="257" t="s">
        <v>1073</v>
      </c>
      <c r="B428" s="170" t="s">
        <v>458</v>
      </c>
      <c r="C428" s="186" t="s">
        <v>34</v>
      </c>
      <c r="D428" s="186" t="s">
        <v>459</v>
      </c>
      <c r="E428" s="171" t="s">
        <v>45</v>
      </c>
      <c r="F428" s="170">
        <v>75.430000000000007</v>
      </c>
      <c r="G428" s="172"/>
      <c r="H428" s="194"/>
      <c r="I428" s="172"/>
      <c r="J428" s="172"/>
      <c r="K428" s="258"/>
    </row>
    <row r="429" spans="1:11">
      <c r="A429" s="257" t="s">
        <v>1074</v>
      </c>
      <c r="B429" s="170" t="s">
        <v>465</v>
      </c>
      <c r="C429" s="186" t="s">
        <v>34</v>
      </c>
      <c r="D429" s="186" t="s">
        <v>466</v>
      </c>
      <c r="E429" s="171" t="s">
        <v>144</v>
      </c>
      <c r="F429" s="170">
        <v>94.27</v>
      </c>
      <c r="G429" s="172"/>
      <c r="H429" s="194"/>
      <c r="I429" s="172"/>
      <c r="J429" s="172"/>
      <c r="K429" s="258"/>
    </row>
    <row r="430" spans="1:11" ht="25.5">
      <c r="A430" s="257" t="s">
        <v>1075</v>
      </c>
      <c r="B430" s="170" t="s">
        <v>155</v>
      </c>
      <c r="C430" s="186" t="s">
        <v>43</v>
      </c>
      <c r="D430" s="186" t="s">
        <v>156</v>
      </c>
      <c r="E430" s="171" t="s">
        <v>144</v>
      </c>
      <c r="F430" s="170">
        <v>112.26</v>
      </c>
      <c r="G430" s="172"/>
      <c r="H430" s="194"/>
      <c r="I430" s="172"/>
      <c r="J430" s="172"/>
      <c r="K430" s="258"/>
    </row>
    <row r="431" spans="1:11">
      <c r="A431" s="259" t="s">
        <v>1076</v>
      </c>
      <c r="B431" s="187"/>
      <c r="C431" s="187"/>
      <c r="D431" s="187" t="s">
        <v>700</v>
      </c>
      <c r="E431" s="187"/>
      <c r="F431" s="169"/>
      <c r="G431" s="187"/>
      <c r="H431" s="193"/>
      <c r="I431" s="187"/>
      <c r="J431" s="168"/>
      <c r="K431" s="260"/>
    </row>
    <row r="432" spans="1:11">
      <c r="A432" s="259" t="s">
        <v>1077</v>
      </c>
      <c r="B432" s="187"/>
      <c r="C432" s="187"/>
      <c r="D432" s="187" t="s">
        <v>702</v>
      </c>
      <c r="E432" s="187"/>
      <c r="F432" s="169"/>
      <c r="G432" s="187"/>
      <c r="H432" s="193"/>
      <c r="I432" s="187"/>
      <c r="J432" s="168"/>
      <c r="K432" s="260"/>
    </row>
    <row r="433" spans="1:11" ht="25.5">
      <c r="A433" s="257" t="s">
        <v>1078</v>
      </c>
      <c r="B433" s="170" t="s">
        <v>1079</v>
      </c>
      <c r="C433" s="186" t="s">
        <v>43</v>
      </c>
      <c r="D433" s="186" t="s">
        <v>1080</v>
      </c>
      <c r="E433" s="171" t="s">
        <v>144</v>
      </c>
      <c r="F433" s="170">
        <v>25.74</v>
      </c>
      <c r="G433" s="172"/>
      <c r="H433" s="194"/>
      <c r="I433" s="172"/>
      <c r="J433" s="172"/>
      <c r="K433" s="258"/>
    </row>
    <row r="434" spans="1:11" ht="25.5">
      <c r="A434" s="257" t="s">
        <v>1081</v>
      </c>
      <c r="B434" s="170" t="s">
        <v>707</v>
      </c>
      <c r="C434" s="186" t="s">
        <v>43</v>
      </c>
      <c r="D434" s="186" t="s">
        <v>708</v>
      </c>
      <c r="E434" s="171" t="s">
        <v>144</v>
      </c>
      <c r="F434" s="170">
        <v>19.649999999999999</v>
      </c>
      <c r="G434" s="172"/>
      <c r="H434" s="194"/>
      <c r="I434" s="172"/>
      <c r="J434" s="172"/>
      <c r="K434" s="258"/>
    </row>
    <row r="435" spans="1:11" ht="25.5">
      <c r="A435" s="257" t="s">
        <v>1082</v>
      </c>
      <c r="B435" s="170" t="s">
        <v>704</v>
      </c>
      <c r="C435" s="186" t="s">
        <v>43</v>
      </c>
      <c r="D435" s="186" t="s">
        <v>705</v>
      </c>
      <c r="E435" s="171" t="s">
        <v>144</v>
      </c>
      <c r="F435" s="170">
        <v>5.64</v>
      </c>
      <c r="G435" s="172"/>
      <c r="H435" s="194"/>
      <c r="I435" s="172"/>
      <c r="J435" s="172"/>
      <c r="K435" s="258"/>
    </row>
    <row r="436" spans="1:11" ht="25.5">
      <c r="A436" s="257" t="s">
        <v>1083</v>
      </c>
      <c r="B436" s="170" t="s">
        <v>710</v>
      </c>
      <c r="C436" s="186" t="s">
        <v>43</v>
      </c>
      <c r="D436" s="186" t="s">
        <v>711</v>
      </c>
      <c r="E436" s="171" t="s">
        <v>144</v>
      </c>
      <c r="F436" s="170">
        <v>106.18</v>
      </c>
      <c r="G436" s="172"/>
      <c r="H436" s="194"/>
      <c r="I436" s="172"/>
      <c r="J436" s="172"/>
      <c r="K436" s="258"/>
    </row>
    <row r="437" spans="1:11" ht="38.25">
      <c r="A437" s="257" t="s">
        <v>1084</v>
      </c>
      <c r="B437" s="170" t="s">
        <v>713</v>
      </c>
      <c r="C437" s="186" t="s">
        <v>43</v>
      </c>
      <c r="D437" s="186" t="s">
        <v>714</v>
      </c>
      <c r="E437" s="171" t="s">
        <v>36</v>
      </c>
      <c r="F437" s="170">
        <v>3</v>
      </c>
      <c r="G437" s="172"/>
      <c r="H437" s="194"/>
      <c r="I437" s="172"/>
      <c r="J437" s="172"/>
      <c r="K437" s="258"/>
    </row>
    <row r="438" spans="1:11" ht="38.25">
      <c r="A438" s="257" t="s">
        <v>1085</v>
      </c>
      <c r="B438" s="170" t="s">
        <v>716</v>
      </c>
      <c r="C438" s="186" t="s">
        <v>43</v>
      </c>
      <c r="D438" s="186" t="s">
        <v>717</v>
      </c>
      <c r="E438" s="171" t="s">
        <v>36</v>
      </c>
      <c r="F438" s="170">
        <v>3</v>
      </c>
      <c r="G438" s="172"/>
      <c r="H438" s="194"/>
      <c r="I438" s="172"/>
      <c r="J438" s="172"/>
      <c r="K438" s="258"/>
    </row>
    <row r="439" spans="1:11" ht="38.25">
      <c r="A439" s="257" t="s">
        <v>1086</v>
      </c>
      <c r="B439" s="170" t="s">
        <v>1087</v>
      </c>
      <c r="C439" s="186" t="s">
        <v>43</v>
      </c>
      <c r="D439" s="186" t="s">
        <v>1088</v>
      </c>
      <c r="E439" s="171" t="s">
        <v>36</v>
      </c>
      <c r="F439" s="170">
        <v>13</v>
      </c>
      <c r="G439" s="172"/>
      <c r="H439" s="194"/>
      <c r="I439" s="172"/>
      <c r="J439" s="172"/>
      <c r="K439" s="258"/>
    </row>
    <row r="440" spans="1:11" ht="38.25">
      <c r="A440" s="257" t="s">
        <v>1089</v>
      </c>
      <c r="B440" s="170" t="s">
        <v>719</v>
      </c>
      <c r="C440" s="186" t="s">
        <v>43</v>
      </c>
      <c r="D440" s="186" t="s">
        <v>720</v>
      </c>
      <c r="E440" s="171" t="s">
        <v>36</v>
      </c>
      <c r="F440" s="170">
        <v>4</v>
      </c>
      <c r="G440" s="172"/>
      <c r="H440" s="194"/>
      <c r="I440" s="172"/>
      <c r="J440" s="172"/>
      <c r="K440" s="258"/>
    </row>
    <row r="441" spans="1:11" ht="38.25">
      <c r="A441" s="257" t="s">
        <v>1090</v>
      </c>
      <c r="B441" s="170" t="s">
        <v>722</v>
      </c>
      <c r="C441" s="186" t="s">
        <v>43</v>
      </c>
      <c r="D441" s="186" t="s">
        <v>723</v>
      </c>
      <c r="E441" s="171" t="s">
        <v>36</v>
      </c>
      <c r="F441" s="170">
        <v>23</v>
      </c>
      <c r="G441" s="172"/>
      <c r="H441" s="194"/>
      <c r="I441" s="172"/>
      <c r="J441" s="172"/>
      <c r="K441" s="258"/>
    </row>
    <row r="442" spans="1:11" ht="25.5">
      <c r="A442" s="257" t="s">
        <v>1091</v>
      </c>
      <c r="B442" s="170" t="s">
        <v>725</v>
      </c>
      <c r="C442" s="186" t="s">
        <v>43</v>
      </c>
      <c r="D442" s="186" t="s">
        <v>726</v>
      </c>
      <c r="E442" s="171" t="s">
        <v>36</v>
      </c>
      <c r="F442" s="170">
        <v>7</v>
      </c>
      <c r="G442" s="172"/>
      <c r="H442" s="194"/>
      <c r="I442" s="172"/>
      <c r="J442" s="172"/>
      <c r="K442" s="258"/>
    </row>
    <row r="443" spans="1:11" ht="25.5">
      <c r="A443" s="257" t="s">
        <v>1092</v>
      </c>
      <c r="B443" s="170" t="s">
        <v>728</v>
      </c>
      <c r="C443" s="186" t="s">
        <v>43</v>
      </c>
      <c r="D443" s="186" t="s">
        <v>729</v>
      </c>
      <c r="E443" s="171" t="s">
        <v>36</v>
      </c>
      <c r="F443" s="170">
        <v>57</v>
      </c>
      <c r="G443" s="172"/>
      <c r="H443" s="194"/>
      <c r="I443" s="172"/>
      <c r="J443" s="172"/>
      <c r="K443" s="258"/>
    </row>
    <row r="444" spans="1:11" ht="38.25">
      <c r="A444" s="257" t="s">
        <v>1093</v>
      </c>
      <c r="B444" s="170" t="s">
        <v>731</v>
      </c>
      <c r="C444" s="186" t="s">
        <v>43</v>
      </c>
      <c r="D444" s="186" t="s">
        <v>732</v>
      </c>
      <c r="E444" s="171" t="s">
        <v>36</v>
      </c>
      <c r="F444" s="170">
        <v>2</v>
      </c>
      <c r="G444" s="172"/>
      <c r="H444" s="194"/>
      <c r="I444" s="172"/>
      <c r="J444" s="172"/>
      <c r="K444" s="258"/>
    </row>
    <row r="445" spans="1:11" ht="38.25">
      <c r="A445" s="257" t="s">
        <v>1094</v>
      </c>
      <c r="B445" s="170" t="s">
        <v>1095</v>
      </c>
      <c r="C445" s="186" t="s">
        <v>43</v>
      </c>
      <c r="D445" s="186" t="s">
        <v>1096</v>
      </c>
      <c r="E445" s="171" t="s">
        <v>36</v>
      </c>
      <c r="F445" s="170">
        <v>10</v>
      </c>
      <c r="G445" s="172"/>
      <c r="H445" s="194"/>
      <c r="I445" s="172"/>
      <c r="J445" s="172"/>
      <c r="K445" s="258"/>
    </row>
    <row r="446" spans="1:11" ht="38.25">
      <c r="A446" s="257" t="s">
        <v>1097</v>
      </c>
      <c r="B446" s="170" t="s">
        <v>737</v>
      </c>
      <c r="C446" s="186" t="s">
        <v>43</v>
      </c>
      <c r="D446" s="186" t="s">
        <v>738</v>
      </c>
      <c r="E446" s="171" t="s">
        <v>36</v>
      </c>
      <c r="F446" s="170">
        <v>2</v>
      </c>
      <c r="G446" s="172"/>
      <c r="H446" s="194"/>
      <c r="I446" s="172"/>
      <c r="J446" s="172"/>
      <c r="K446" s="258"/>
    </row>
    <row r="447" spans="1:11" ht="25.5">
      <c r="A447" s="257" t="s">
        <v>1098</v>
      </c>
      <c r="B447" s="170" t="s">
        <v>1099</v>
      </c>
      <c r="C447" s="186" t="s">
        <v>43</v>
      </c>
      <c r="D447" s="186" t="s">
        <v>1100</v>
      </c>
      <c r="E447" s="171" t="s">
        <v>36</v>
      </c>
      <c r="F447" s="170">
        <v>2</v>
      </c>
      <c r="G447" s="172"/>
      <c r="H447" s="194"/>
      <c r="I447" s="172"/>
      <c r="J447" s="172"/>
      <c r="K447" s="258"/>
    </row>
    <row r="448" spans="1:11" ht="38.25">
      <c r="A448" s="257" t="s">
        <v>1101</v>
      </c>
      <c r="B448" s="170" t="s">
        <v>1102</v>
      </c>
      <c r="C448" s="186" t="s">
        <v>43</v>
      </c>
      <c r="D448" s="186" t="s">
        <v>1103</v>
      </c>
      <c r="E448" s="171" t="s">
        <v>36</v>
      </c>
      <c r="F448" s="170">
        <v>2</v>
      </c>
      <c r="G448" s="172"/>
      <c r="H448" s="194"/>
      <c r="I448" s="172"/>
      <c r="J448" s="172"/>
      <c r="K448" s="258"/>
    </row>
    <row r="449" spans="1:11" ht="25.5">
      <c r="A449" s="257" t="s">
        <v>1104</v>
      </c>
      <c r="B449" s="170" t="s">
        <v>1105</v>
      </c>
      <c r="C449" s="186" t="s">
        <v>43</v>
      </c>
      <c r="D449" s="186" t="s">
        <v>1106</v>
      </c>
      <c r="E449" s="171" t="s">
        <v>36</v>
      </c>
      <c r="F449" s="170">
        <v>1</v>
      </c>
      <c r="G449" s="172"/>
      <c r="H449" s="194"/>
      <c r="I449" s="172"/>
      <c r="J449" s="172"/>
      <c r="K449" s="258"/>
    </row>
    <row r="450" spans="1:11" ht="25.5">
      <c r="A450" s="257" t="s">
        <v>1107</v>
      </c>
      <c r="B450" s="170" t="s">
        <v>740</v>
      </c>
      <c r="C450" s="186" t="s">
        <v>43</v>
      </c>
      <c r="D450" s="186" t="s">
        <v>741</v>
      </c>
      <c r="E450" s="171" t="s">
        <v>36</v>
      </c>
      <c r="F450" s="170">
        <v>18</v>
      </c>
      <c r="G450" s="172"/>
      <c r="H450" s="194"/>
      <c r="I450" s="172"/>
      <c r="J450" s="172"/>
      <c r="K450" s="258"/>
    </row>
    <row r="451" spans="1:11" ht="25.5">
      <c r="A451" s="257" t="s">
        <v>1108</v>
      </c>
      <c r="B451" s="170" t="s">
        <v>749</v>
      </c>
      <c r="C451" s="186" t="s">
        <v>43</v>
      </c>
      <c r="D451" s="186" t="s">
        <v>750</v>
      </c>
      <c r="E451" s="171" t="s">
        <v>36</v>
      </c>
      <c r="F451" s="170">
        <v>7</v>
      </c>
      <c r="G451" s="172"/>
      <c r="H451" s="194"/>
      <c r="I451" s="172"/>
      <c r="J451" s="172"/>
      <c r="K451" s="258"/>
    </row>
    <row r="452" spans="1:11" ht="25.5">
      <c r="A452" s="257" t="s">
        <v>1109</v>
      </c>
      <c r="B452" s="170" t="s">
        <v>1110</v>
      </c>
      <c r="C452" s="186" t="s">
        <v>43</v>
      </c>
      <c r="D452" s="186" t="s">
        <v>1111</v>
      </c>
      <c r="E452" s="171" t="s">
        <v>36</v>
      </c>
      <c r="F452" s="170">
        <v>4</v>
      </c>
      <c r="G452" s="172"/>
      <c r="H452" s="194"/>
      <c r="I452" s="172"/>
      <c r="J452" s="172"/>
      <c r="K452" s="258"/>
    </row>
    <row r="453" spans="1:11">
      <c r="A453" s="259" t="s">
        <v>1112</v>
      </c>
      <c r="B453" s="187"/>
      <c r="C453" s="187"/>
      <c r="D453" s="187" t="s">
        <v>752</v>
      </c>
      <c r="E453" s="187"/>
      <c r="F453" s="169"/>
      <c r="G453" s="187"/>
      <c r="H453" s="193"/>
      <c r="I453" s="187"/>
      <c r="J453" s="168"/>
      <c r="K453" s="260"/>
    </row>
    <row r="454" spans="1:11" ht="38.25">
      <c r="A454" s="257" t="s">
        <v>1113</v>
      </c>
      <c r="B454" s="170" t="s">
        <v>760</v>
      </c>
      <c r="C454" s="186" t="s">
        <v>43</v>
      </c>
      <c r="D454" s="186" t="s">
        <v>761</v>
      </c>
      <c r="E454" s="171" t="s">
        <v>144</v>
      </c>
      <c r="F454" s="170">
        <v>23.85</v>
      </c>
      <c r="G454" s="172"/>
      <c r="H454" s="194"/>
      <c r="I454" s="172"/>
      <c r="J454" s="172"/>
      <c r="K454" s="258"/>
    </row>
    <row r="455" spans="1:11" ht="38.25">
      <c r="A455" s="257" t="s">
        <v>1114</v>
      </c>
      <c r="B455" s="170" t="s">
        <v>757</v>
      </c>
      <c r="C455" s="186" t="s">
        <v>43</v>
      </c>
      <c r="D455" s="186" t="s">
        <v>758</v>
      </c>
      <c r="E455" s="171" t="s">
        <v>144</v>
      </c>
      <c r="F455" s="170">
        <v>65.31</v>
      </c>
      <c r="G455" s="172"/>
      <c r="H455" s="194"/>
      <c r="I455" s="172"/>
      <c r="J455" s="172"/>
      <c r="K455" s="258"/>
    </row>
    <row r="456" spans="1:11" ht="38.25">
      <c r="A456" s="257" t="s">
        <v>1115</v>
      </c>
      <c r="B456" s="170" t="s">
        <v>763</v>
      </c>
      <c r="C456" s="186" t="s">
        <v>43</v>
      </c>
      <c r="D456" s="186" t="s">
        <v>764</v>
      </c>
      <c r="E456" s="171" t="s">
        <v>144</v>
      </c>
      <c r="F456" s="170">
        <v>134.31</v>
      </c>
      <c r="G456" s="172"/>
      <c r="H456" s="194"/>
      <c r="I456" s="172"/>
      <c r="J456" s="172"/>
      <c r="K456" s="258"/>
    </row>
    <row r="457" spans="1:11" ht="38.25">
      <c r="A457" s="257" t="s">
        <v>1116</v>
      </c>
      <c r="B457" s="170" t="s">
        <v>754</v>
      </c>
      <c r="C457" s="186" t="s">
        <v>43</v>
      </c>
      <c r="D457" s="186" t="s">
        <v>755</v>
      </c>
      <c r="E457" s="171" t="s">
        <v>144</v>
      </c>
      <c r="F457" s="170">
        <v>25.52</v>
      </c>
      <c r="G457" s="172"/>
      <c r="H457" s="194"/>
      <c r="I457" s="172"/>
      <c r="J457" s="172"/>
      <c r="K457" s="258"/>
    </row>
    <row r="458" spans="1:11" ht="38.25">
      <c r="A458" s="257" t="s">
        <v>1117</v>
      </c>
      <c r="B458" s="170" t="s">
        <v>769</v>
      </c>
      <c r="C458" s="186" t="s">
        <v>43</v>
      </c>
      <c r="D458" s="186" t="s">
        <v>770</v>
      </c>
      <c r="E458" s="171" t="s">
        <v>36</v>
      </c>
      <c r="F458" s="170">
        <v>7</v>
      </c>
      <c r="G458" s="172"/>
      <c r="H458" s="194"/>
      <c r="I458" s="172"/>
      <c r="J458" s="172"/>
      <c r="K458" s="258"/>
    </row>
    <row r="459" spans="1:11" ht="38.25">
      <c r="A459" s="257" t="s">
        <v>1118</v>
      </c>
      <c r="B459" s="170" t="s">
        <v>1119</v>
      </c>
      <c r="C459" s="186" t="s">
        <v>43</v>
      </c>
      <c r="D459" s="186" t="s">
        <v>1120</v>
      </c>
      <c r="E459" s="171" t="s">
        <v>36</v>
      </c>
      <c r="F459" s="170">
        <v>4</v>
      </c>
      <c r="G459" s="172"/>
      <c r="H459" s="194"/>
      <c r="I459" s="172"/>
      <c r="J459" s="172"/>
      <c r="K459" s="258"/>
    </row>
    <row r="460" spans="1:11" ht="38.25">
      <c r="A460" s="257" t="s">
        <v>1121</v>
      </c>
      <c r="B460" s="170" t="s">
        <v>772</v>
      </c>
      <c r="C460" s="186" t="s">
        <v>43</v>
      </c>
      <c r="D460" s="186" t="s">
        <v>773</v>
      </c>
      <c r="E460" s="171" t="s">
        <v>36</v>
      </c>
      <c r="F460" s="170">
        <v>8</v>
      </c>
      <c r="G460" s="172"/>
      <c r="H460" s="194"/>
      <c r="I460" s="172"/>
      <c r="J460" s="172"/>
      <c r="K460" s="258"/>
    </row>
    <row r="461" spans="1:11" ht="38.25">
      <c r="A461" s="257" t="s">
        <v>1122</v>
      </c>
      <c r="B461" s="170" t="s">
        <v>811</v>
      </c>
      <c r="C461" s="186" t="s">
        <v>43</v>
      </c>
      <c r="D461" s="186" t="s">
        <v>812</v>
      </c>
      <c r="E461" s="171" t="s">
        <v>36</v>
      </c>
      <c r="F461" s="170">
        <v>34</v>
      </c>
      <c r="G461" s="172"/>
      <c r="H461" s="194"/>
      <c r="I461" s="172"/>
      <c r="J461" s="172"/>
      <c r="K461" s="258"/>
    </row>
    <row r="462" spans="1:11" ht="38.25">
      <c r="A462" s="257" t="s">
        <v>1123</v>
      </c>
      <c r="B462" s="170" t="s">
        <v>781</v>
      </c>
      <c r="C462" s="186" t="s">
        <v>43</v>
      </c>
      <c r="D462" s="186" t="s">
        <v>782</v>
      </c>
      <c r="E462" s="171" t="s">
        <v>36</v>
      </c>
      <c r="F462" s="170">
        <v>38</v>
      </c>
      <c r="G462" s="172"/>
      <c r="H462" s="194"/>
      <c r="I462" s="172"/>
      <c r="J462" s="172"/>
      <c r="K462" s="258"/>
    </row>
    <row r="463" spans="1:11" ht="38.25">
      <c r="A463" s="257" t="s">
        <v>1124</v>
      </c>
      <c r="B463" s="170" t="s">
        <v>1125</v>
      </c>
      <c r="C463" s="186" t="s">
        <v>43</v>
      </c>
      <c r="D463" s="186" t="s">
        <v>1126</v>
      </c>
      <c r="E463" s="171" t="s">
        <v>36</v>
      </c>
      <c r="F463" s="170">
        <v>16</v>
      </c>
      <c r="G463" s="172"/>
      <c r="H463" s="194"/>
      <c r="I463" s="172"/>
      <c r="J463" s="172"/>
      <c r="K463" s="258"/>
    </row>
    <row r="464" spans="1:11" ht="38.25">
      <c r="A464" s="257" t="s">
        <v>1127</v>
      </c>
      <c r="B464" s="170" t="s">
        <v>814</v>
      </c>
      <c r="C464" s="186" t="s">
        <v>43</v>
      </c>
      <c r="D464" s="186" t="s">
        <v>815</v>
      </c>
      <c r="E464" s="171" t="s">
        <v>36</v>
      </c>
      <c r="F464" s="170">
        <v>8</v>
      </c>
      <c r="G464" s="172"/>
      <c r="H464" s="194"/>
      <c r="I464" s="172"/>
      <c r="J464" s="172"/>
      <c r="K464" s="258"/>
    </row>
    <row r="465" spans="1:11" ht="51">
      <c r="A465" s="257" t="s">
        <v>1128</v>
      </c>
      <c r="B465" s="170" t="s">
        <v>1129</v>
      </c>
      <c r="C465" s="186" t="s">
        <v>43</v>
      </c>
      <c r="D465" s="186" t="s">
        <v>1130</v>
      </c>
      <c r="E465" s="171" t="s">
        <v>36</v>
      </c>
      <c r="F465" s="170">
        <v>8</v>
      </c>
      <c r="G465" s="172"/>
      <c r="H465" s="194"/>
      <c r="I465" s="172"/>
      <c r="J465" s="172"/>
      <c r="K465" s="258"/>
    </row>
    <row r="466" spans="1:11" ht="38.25">
      <c r="A466" s="257" t="s">
        <v>1131</v>
      </c>
      <c r="B466" s="170" t="s">
        <v>1132</v>
      </c>
      <c r="C466" s="186" t="s">
        <v>43</v>
      </c>
      <c r="D466" s="186" t="s">
        <v>1133</v>
      </c>
      <c r="E466" s="171" t="s">
        <v>36</v>
      </c>
      <c r="F466" s="170">
        <v>7</v>
      </c>
      <c r="G466" s="172"/>
      <c r="H466" s="194"/>
      <c r="I466" s="172"/>
      <c r="J466" s="172"/>
      <c r="K466" s="258"/>
    </row>
    <row r="467" spans="1:11" ht="51">
      <c r="A467" s="257" t="s">
        <v>1134</v>
      </c>
      <c r="B467" s="170" t="s">
        <v>793</v>
      </c>
      <c r="C467" s="186" t="s">
        <v>43</v>
      </c>
      <c r="D467" s="186" t="s">
        <v>794</v>
      </c>
      <c r="E467" s="171" t="s">
        <v>36</v>
      </c>
      <c r="F467" s="170">
        <v>10</v>
      </c>
      <c r="G467" s="172"/>
      <c r="H467" s="194"/>
      <c r="I467" s="172"/>
      <c r="J467" s="172"/>
      <c r="K467" s="258"/>
    </row>
    <row r="468" spans="1:11" ht="38.25">
      <c r="A468" s="257" t="s">
        <v>1135</v>
      </c>
      <c r="B468" s="170" t="s">
        <v>1136</v>
      </c>
      <c r="C468" s="186" t="s">
        <v>43</v>
      </c>
      <c r="D468" s="186" t="s">
        <v>1137</v>
      </c>
      <c r="E468" s="171" t="s">
        <v>36</v>
      </c>
      <c r="F468" s="170">
        <v>1</v>
      </c>
      <c r="G468" s="172"/>
      <c r="H468" s="194"/>
      <c r="I468" s="172"/>
      <c r="J468" s="172"/>
      <c r="K468" s="258"/>
    </row>
    <row r="469" spans="1:11" ht="38.25">
      <c r="A469" s="257" t="s">
        <v>1138</v>
      </c>
      <c r="B469" s="170" t="s">
        <v>808</v>
      </c>
      <c r="C469" s="186" t="s">
        <v>43</v>
      </c>
      <c r="D469" s="186" t="s">
        <v>809</v>
      </c>
      <c r="E469" s="171" t="s">
        <v>36</v>
      </c>
      <c r="F469" s="170">
        <v>5</v>
      </c>
      <c r="G469" s="172"/>
      <c r="H469" s="194"/>
      <c r="I469" s="172"/>
      <c r="J469" s="172"/>
      <c r="K469" s="258"/>
    </row>
    <row r="470" spans="1:11" ht="38.25">
      <c r="A470" s="257" t="s">
        <v>1139</v>
      </c>
      <c r="B470" s="170" t="s">
        <v>805</v>
      </c>
      <c r="C470" s="186" t="s">
        <v>43</v>
      </c>
      <c r="D470" s="186" t="s">
        <v>806</v>
      </c>
      <c r="E470" s="171" t="s">
        <v>36</v>
      </c>
      <c r="F470" s="170">
        <v>23</v>
      </c>
      <c r="G470" s="172"/>
      <c r="H470" s="194"/>
      <c r="I470" s="172"/>
      <c r="J470" s="172"/>
      <c r="K470" s="258"/>
    </row>
    <row r="471" spans="1:11" ht="38.25">
      <c r="A471" s="257" t="s">
        <v>1140</v>
      </c>
      <c r="B471" s="170" t="s">
        <v>799</v>
      </c>
      <c r="C471" s="186" t="s">
        <v>43</v>
      </c>
      <c r="D471" s="186" t="s">
        <v>800</v>
      </c>
      <c r="E471" s="171" t="s">
        <v>36</v>
      </c>
      <c r="F471" s="170">
        <v>6</v>
      </c>
      <c r="G471" s="172"/>
      <c r="H471" s="194"/>
      <c r="I471" s="172"/>
      <c r="J471" s="172"/>
      <c r="K471" s="258"/>
    </row>
    <row r="472" spans="1:11" ht="38.25">
      <c r="A472" s="257" t="s">
        <v>1141</v>
      </c>
      <c r="B472" s="170" t="s">
        <v>826</v>
      </c>
      <c r="C472" s="186" t="s">
        <v>34</v>
      </c>
      <c r="D472" s="186" t="s">
        <v>827</v>
      </c>
      <c r="E472" s="171" t="s">
        <v>36</v>
      </c>
      <c r="F472" s="170">
        <v>12</v>
      </c>
      <c r="G472" s="172"/>
      <c r="H472" s="194"/>
      <c r="I472" s="172"/>
      <c r="J472" s="172"/>
      <c r="K472" s="258"/>
    </row>
    <row r="473" spans="1:11" ht="25.5">
      <c r="A473" s="257" t="s">
        <v>1142</v>
      </c>
      <c r="B473" s="170" t="s">
        <v>832</v>
      </c>
      <c r="C473" s="186" t="s">
        <v>34</v>
      </c>
      <c r="D473" s="186" t="s">
        <v>833</v>
      </c>
      <c r="E473" s="171" t="s">
        <v>31</v>
      </c>
      <c r="F473" s="170">
        <v>8</v>
      </c>
      <c r="G473" s="172"/>
      <c r="H473" s="194"/>
      <c r="I473" s="172"/>
      <c r="J473" s="172"/>
      <c r="K473" s="258"/>
    </row>
    <row r="474" spans="1:11">
      <c r="A474" s="259" t="s">
        <v>1143</v>
      </c>
      <c r="B474" s="187"/>
      <c r="C474" s="187"/>
      <c r="D474" s="187" t="s">
        <v>835</v>
      </c>
      <c r="E474" s="187"/>
      <c r="F474" s="169"/>
      <c r="G474" s="187"/>
      <c r="H474" s="193"/>
      <c r="I474" s="187"/>
      <c r="J474" s="168"/>
      <c r="K474" s="260"/>
    </row>
    <row r="475" spans="1:11" ht="25.5">
      <c r="A475" s="257" t="s">
        <v>1144</v>
      </c>
      <c r="B475" s="170" t="s">
        <v>837</v>
      </c>
      <c r="C475" s="186" t="s">
        <v>43</v>
      </c>
      <c r="D475" s="186" t="s">
        <v>838</v>
      </c>
      <c r="E475" s="171" t="s">
        <v>144</v>
      </c>
      <c r="F475" s="170">
        <v>114.87</v>
      </c>
      <c r="G475" s="172"/>
      <c r="H475" s="194"/>
      <c r="I475" s="172"/>
      <c r="J475" s="172"/>
      <c r="K475" s="258"/>
    </row>
    <row r="476" spans="1:11" ht="25.5">
      <c r="A476" s="257" t="s">
        <v>1145</v>
      </c>
      <c r="B476" s="170" t="s">
        <v>840</v>
      </c>
      <c r="C476" s="186" t="s">
        <v>43</v>
      </c>
      <c r="D476" s="186" t="s">
        <v>841</v>
      </c>
      <c r="E476" s="171" t="s">
        <v>144</v>
      </c>
      <c r="F476" s="170">
        <v>21.38</v>
      </c>
      <c r="G476" s="172"/>
      <c r="H476" s="194"/>
      <c r="I476" s="172"/>
      <c r="J476" s="172"/>
      <c r="K476" s="258"/>
    </row>
    <row r="477" spans="1:11" ht="38.25">
      <c r="A477" s="257" t="s">
        <v>1146</v>
      </c>
      <c r="B477" s="170" t="s">
        <v>846</v>
      </c>
      <c r="C477" s="186" t="s">
        <v>43</v>
      </c>
      <c r="D477" s="186" t="s">
        <v>847</v>
      </c>
      <c r="E477" s="171" t="s">
        <v>36</v>
      </c>
      <c r="F477" s="170">
        <v>7</v>
      </c>
      <c r="G477" s="172"/>
      <c r="H477" s="194"/>
      <c r="I477" s="172"/>
      <c r="J477" s="172"/>
      <c r="K477" s="258"/>
    </row>
    <row r="478" spans="1:11" ht="38.25">
      <c r="A478" s="257" t="s">
        <v>1147</v>
      </c>
      <c r="B478" s="170" t="s">
        <v>1148</v>
      </c>
      <c r="C478" s="186" t="s">
        <v>43</v>
      </c>
      <c r="D478" s="186" t="s">
        <v>1149</v>
      </c>
      <c r="E478" s="171" t="s">
        <v>36</v>
      </c>
      <c r="F478" s="170">
        <v>2</v>
      </c>
      <c r="G478" s="172"/>
      <c r="H478" s="194"/>
      <c r="I478" s="172"/>
      <c r="J478" s="172"/>
      <c r="K478" s="258"/>
    </row>
    <row r="479" spans="1:11" ht="38.25">
      <c r="A479" s="257" t="s">
        <v>1150</v>
      </c>
      <c r="B479" s="170" t="s">
        <v>843</v>
      </c>
      <c r="C479" s="186" t="s">
        <v>43</v>
      </c>
      <c r="D479" s="186" t="s">
        <v>844</v>
      </c>
      <c r="E479" s="171" t="s">
        <v>36</v>
      </c>
      <c r="F479" s="170">
        <v>5</v>
      </c>
      <c r="G479" s="172"/>
      <c r="H479" s="194"/>
      <c r="I479" s="172"/>
      <c r="J479" s="172"/>
      <c r="K479" s="258"/>
    </row>
    <row r="480" spans="1:11" ht="25.5">
      <c r="A480" s="257" t="s">
        <v>1151</v>
      </c>
      <c r="B480" s="170" t="s">
        <v>855</v>
      </c>
      <c r="C480" s="186" t="s">
        <v>34</v>
      </c>
      <c r="D480" s="186" t="s">
        <v>856</v>
      </c>
      <c r="E480" s="171" t="s">
        <v>36</v>
      </c>
      <c r="F480" s="170">
        <v>21</v>
      </c>
      <c r="G480" s="172"/>
      <c r="H480" s="194"/>
      <c r="I480" s="172"/>
      <c r="J480" s="172"/>
      <c r="K480" s="258"/>
    </row>
    <row r="481" spans="1:11" ht="25.5">
      <c r="A481" s="257" t="s">
        <v>1152</v>
      </c>
      <c r="B481" s="170" t="s">
        <v>864</v>
      </c>
      <c r="C481" s="186" t="s">
        <v>34</v>
      </c>
      <c r="D481" s="186" t="s">
        <v>865</v>
      </c>
      <c r="E481" s="171" t="s">
        <v>36</v>
      </c>
      <c r="F481" s="170">
        <v>8</v>
      </c>
      <c r="G481" s="172"/>
      <c r="H481" s="194"/>
      <c r="I481" s="172"/>
      <c r="J481" s="172"/>
      <c r="K481" s="258"/>
    </row>
    <row r="482" spans="1:11" ht="38.25">
      <c r="A482" s="257" t="s">
        <v>1153</v>
      </c>
      <c r="B482" s="170" t="s">
        <v>1154</v>
      </c>
      <c r="C482" s="186" t="s">
        <v>43</v>
      </c>
      <c r="D482" s="186" t="s">
        <v>1155</v>
      </c>
      <c r="E482" s="171" t="s">
        <v>36</v>
      </c>
      <c r="F482" s="170">
        <v>2</v>
      </c>
      <c r="G482" s="172"/>
      <c r="H482" s="194"/>
      <c r="I482" s="172"/>
      <c r="J482" s="172"/>
      <c r="K482" s="258"/>
    </row>
    <row r="483" spans="1:11" ht="38.25">
      <c r="A483" s="257" t="s">
        <v>1156</v>
      </c>
      <c r="B483" s="170" t="s">
        <v>1157</v>
      </c>
      <c r="C483" s="186" t="s">
        <v>43</v>
      </c>
      <c r="D483" s="186" t="s">
        <v>1158</v>
      </c>
      <c r="E483" s="171" t="s">
        <v>36</v>
      </c>
      <c r="F483" s="170">
        <v>9</v>
      </c>
      <c r="G483" s="172"/>
      <c r="H483" s="194"/>
      <c r="I483" s="172"/>
      <c r="J483" s="172"/>
      <c r="K483" s="258"/>
    </row>
    <row r="484" spans="1:11" ht="38.25">
      <c r="A484" s="257" t="s">
        <v>1159</v>
      </c>
      <c r="B484" s="170" t="s">
        <v>858</v>
      </c>
      <c r="C484" s="186" t="s">
        <v>43</v>
      </c>
      <c r="D484" s="186" t="s">
        <v>859</v>
      </c>
      <c r="E484" s="171" t="s">
        <v>36</v>
      </c>
      <c r="F484" s="170">
        <v>20</v>
      </c>
      <c r="G484" s="172"/>
      <c r="H484" s="194"/>
      <c r="I484" s="172"/>
      <c r="J484" s="172"/>
      <c r="K484" s="258"/>
    </row>
    <row r="485" spans="1:11" ht="38.25">
      <c r="A485" s="257" t="s">
        <v>1160</v>
      </c>
      <c r="B485" s="170" t="s">
        <v>861</v>
      </c>
      <c r="C485" s="186" t="s">
        <v>43</v>
      </c>
      <c r="D485" s="186" t="s">
        <v>862</v>
      </c>
      <c r="E485" s="171" t="s">
        <v>36</v>
      </c>
      <c r="F485" s="170">
        <v>2</v>
      </c>
      <c r="G485" s="172"/>
      <c r="H485" s="194"/>
      <c r="I485" s="172"/>
      <c r="J485" s="172"/>
      <c r="K485" s="258"/>
    </row>
    <row r="486" spans="1:11" ht="38.25">
      <c r="A486" s="257" t="s">
        <v>1161</v>
      </c>
      <c r="B486" s="170" t="s">
        <v>870</v>
      </c>
      <c r="C486" s="186" t="s">
        <v>43</v>
      </c>
      <c r="D486" s="186" t="s">
        <v>871</v>
      </c>
      <c r="E486" s="171" t="s">
        <v>36</v>
      </c>
      <c r="F486" s="170">
        <v>15</v>
      </c>
      <c r="G486" s="172"/>
      <c r="H486" s="194"/>
      <c r="I486" s="172"/>
      <c r="J486" s="172"/>
      <c r="K486" s="258"/>
    </row>
    <row r="487" spans="1:11" ht="38.25">
      <c r="A487" s="257" t="s">
        <v>1162</v>
      </c>
      <c r="B487" s="170" t="s">
        <v>1163</v>
      </c>
      <c r="C487" s="186" t="s">
        <v>43</v>
      </c>
      <c r="D487" s="186" t="s">
        <v>1164</v>
      </c>
      <c r="E487" s="171" t="s">
        <v>36</v>
      </c>
      <c r="F487" s="170">
        <v>2</v>
      </c>
      <c r="G487" s="172"/>
      <c r="H487" s="194"/>
      <c r="I487" s="172"/>
      <c r="J487" s="172"/>
      <c r="K487" s="258"/>
    </row>
    <row r="488" spans="1:11">
      <c r="A488" s="259" t="s">
        <v>1165</v>
      </c>
      <c r="B488" s="187"/>
      <c r="C488" s="187"/>
      <c r="D488" s="187" t="s">
        <v>1166</v>
      </c>
      <c r="E488" s="187"/>
      <c r="F488" s="169"/>
      <c r="G488" s="187"/>
      <c r="H488" s="193"/>
      <c r="I488" s="187"/>
      <c r="J488" s="168"/>
      <c r="K488" s="260"/>
    </row>
    <row r="489" spans="1:11" ht="25.5">
      <c r="A489" s="257" t="s">
        <v>1167</v>
      </c>
      <c r="B489" s="170" t="s">
        <v>890</v>
      </c>
      <c r="C489" s="186" t="s">
        <v>43</v>
      </c>
      <c r="D489" s="186" t="s">
        <v>891</v>
      </c>
      <c r="E489" s="171" t="s">
        <v>36</v>
      </c>
      <c r="F489" s="170">
        <v>1</v>
      </c>
      <c r="G489" s="172"/>
      <c r="H489" s="194"/>
      <c r="I489" s="172"/>
      <c r="J489" s="172"/>
      <c r="K489" s="258"/>
    </row>
    <row r="490" spans="1:11" ht="38.25">
      <c r="A490" s="257" t="s">
        <v>1168</v>
      </c>
      <c r="B490" s="170" t="s">
        <v>896</v>
      </c>
      <c r="C490" s="186" t="s">
        <v>43</v>
      </c>
      <c r="D490" s="186" t="s">
        <v>897</v>
      </c>
      <c r="E490" s="171" t="s">
        <v>144</v>
      </c>
      <c r="F490" s="170">
        <v>5</v>
      </c>
      <c r="G490" s="172"/>
      <c r="H490" s="194"/>
      <c r="I490" s="172"/>
      <c r="J490" s="172"/>
      <c r="K490" s="258"/>
    </row>
    <row r="491" spans="1:11" ht="38.25">
      <c r="A491" s="257" t="s">
        <v>1169</v>
      </c>
      <c r="B491" s="170" t="s">
        <v>902</v>
      </c>
      <c r="C491" s="186" t="s">
        <v>43</v>
      </c>
      <c r="D491" s="186" t="s">
        <v>903</v>
      </c>
      <c r="E491" s="171" t="s">
        <v>144</v>
      </c>
      <c r="F491" s="170">
        <v>5</v>
      </c>
      <c r="G491" s="172"/>
      <c r="H491" s="194"/>
      <c r="I491" s="172"/>
      <c r="J491" s="172"/>
      <c r="K491" s="258"/>
    </row>
    <row r="492" spans="1:11" ht="25.5">
      <c r="A492" s="257" t="s">
        <v>1170</v>
      </c>
      <c r="B492" s="170" t="s">
        <v>914</v>
      </c>
      <c r="C492" s="186" t="s">
        <v>34</v>
      </c>
      <c r="D492" s="186" t="s">
        <v>915</v>
      </c>
      <c r="E492" s="171" t="s">
        <v>144</v>
      </c>
      <c r="F492" s="170">
        <v>10</v>
      </c>
      <c r="G492" s="172"/>
      <c r="H492" s="194"/>
      <c r="I492" s="172"/>
      <c r="J492" s="172"/>
      <c r="K492" s="258"/>
    </row>
    <row r="493" spans="1:11" ht="25.5">
      <c r="A493" s="257" t="s">
        <v>1171</v>
      </c>
      <c r="B493" s="170" t="s">
        <v>920</v>
      </c>
      <c r="C493" s="186" t="s">
        <v>34</v>
      </c>
      <c r="D493" s="186" t="s">
        <v>921</v>
      </c>
      <c r="E493" s="171" t="s">
        <v>36</v>
      </c>
      <c r="F493" s="170">
        <v>1</v>
      </c>
      <c r="G493" s="172"/>
      <c r="H493" s="194"/>
      <c r="I493" s="172"/>
      <c r="J493" s="172"/>
      <c r="K493" s="258"/>
    </row>
    <row r="494" spans="1:11" ht="51">
      <c r="A494" s="257" t="s">
        <v>1172</v>
      </c>
      <c r="B494" s="170" t="s">
        <v>1173</v>
      </c>
      <c r="C494" s="186" t="s">
        <v>34</v>
      </c>
      <c r="D494" s="186" t="s">
        <v>1174</v>
      </c>
      <c r="E494" s="171" t="s">
        <v>31</v>
      </c>
      <c r="F494" s="170">
        <v>1</v>
      </c>
      <c r="G494" s="172"/>
      <c r="H494" s="194"/>
      <c r="I494" s="172"/>
      <c r="J494" s="172"/>
      <c r="K494" s="258"/>
    </row>
    <row r="495" spans="1:11" ht="25.5">
      <c r="A495" s="257" t="s">
        <v>1175</v>
      </c>
      <c r="B495" s="170" t="s">
        <v>936</v>
      </c>
      <c r="C495" s="186" t="s">
        <v>34</v>
      </c>
      <c r="D495" s="186" t="s">
        <v>937</v>
      </c>
      <c r="E495" s="171" t="s">
        <v>36</v>
      </c>
      <c r="F495" s="170">
        <v>4</v>
      </c>
      <c r="G495" s="172"/>
      <c r="H495" s="194"/>
      <c r="I495" s="172"/>
      <c r="J495" s="172"/>
      <c r="K495" s="258"/>
    </row>
    <row r="496" spans="1:11" ht="38.25">
      <c r="A496" s="257" t="s">
        <v>1176</v>
      </c>
      <c r="B496" s="170" t="s">
        <v>932</v>
      </c>
      <c r="C496" s="186" t="s">
        <v>34</v>
      </c>
      <c r="D496" s="186" t="s">
        <v>933</v>
      </c>
      <c r="E496" s="171" t="s">
        <v>36</v>
      </c>
      <c r="F496" s="170">
        <v>1</v>
      </c>
      <c r="G496" s="172"/>
      <c r="H496" s="194"/>
      <c r="I496" s="172"/>
      <c r="J496" s="172"/>
      <c r="K496" s="258"/>
    </row>
    <row r="497" spans="1:11" ht="38.25">
      <c r="A497" s="257" t="s">
        <v>1177</v>
      </c>
      <c r="B497" s="170" t="s">
        <v>926</v>
      </c>
      <c r="C497" s="186" t="s">
        <v>43</v>
      </c>
      <c r="D497" s="186" t="s">
        <v>927</v>
      </c>
      <c r="E497" s="171" t="s">
        <v>144</v>
      </c>
      <c r="F497" s="170">
        <v>20</v>
      </c>
      <c r="G497" s="172"/>
      <c r="H497" s="194"/>
      <c r="I497" s="172"/>
      <c r="J497" s="172"/>
      <c r="K497" s="258"/>
    </row>
    <row r="498" spans="1:11" ht="38.25">
      <c r="A498" s="257" t="s">
        <v>1178</v>
      </c>
      <c r="B498" s="170" t="s">
        <v>1179</v>
      </c>
      <c r="C498" s="186" t="s">
        <v>34</v>
      </c>
      <c r="D498" s="186" t="s">
        <v>1180</v>
      </c>
      <c r="E498" s="171" t="s">
        <v>36</v>
      </c>
      <c r="F498" s="170">
        <v>1</v>
      </c>
      <c r="G498" s="172"/>
      <c r="H498" s="194"/>
      <c r="I498" s="172"/>
      <c r="J498" s="172"/>
      <c r="K498" s="258"/>
    </row>
    <row r="499" spans="1:11" ht="25.5">
      <c r="A499" s="257" t="s">
        <v>1181</v>
      </c>
      <c r="B499" s="170" t="s">
        <v>1182</v>
      </c>
      <c r="C499" s="186" t="s">
        <v>34</v>
      </c>
      <c r="D499" s="186" t="s">
        <v>1183</v>
      </c>
      <c r="E499" s="171" t="s">
        <v>36</v>
      </c>
      <c r="F499" s="170">
        <v>3</v>
      </c>
      <c r="G499" s="172"/>
      <c r="H499" s="194"/>
      <c r="I499" s="172"/>
      <c r="J499" s="172"/>
      <c r="K499" s="258"/>
    </row>
    <row r="500" spans="1:11" ht="38.25">
      <c r="A500" s="257" t="s">
        <v>1184</v>
      </c>
      <c r="B500" s="170" t="s">
        <v>1185</v>
      </c>
      <c r="C500" s="186" t="s">
        <v>34</v>
      </c>
      <c r="D500" s="186" t="s">
        <v>1186</v>
      </c>
      <c r="E500" s="171" t="s">
        <v>80</v>
      </c>
      <c r="F500" s="170">
        <v>347</v>
      </c>
      <c r="G500" s="172"/>
      <c r="H500" s="194"/>
      <c r="I500" s="172"/>
      <c r="J500" s="172"/>
      <c r="K500" s="258"/>
    </row>
    <row r="501" spans="1:11" ht="25.5">
      <c r="A501" s="257" t="s">
        <v>1187</v>
      </c>
      <c r="B501" s="170" t="s">
        <v>1188</v>
      </c>
      <c r="C501" s="186" t="s">
        <v>34</v>
      </c>
      <c r="D501" s="186" t="s">
        <v>1189</v>
      </c>
      <c r="E501" s="171" t="s">
        <v>144</v>
      </c>
      <c r="F501" s="170">
        <v>30</v>
      </c>
      <c r="G501" s="172"/>
      <c r="H501" s="194"/>
      <c r="I501" s="172"/>
      <c r="J501" s="172"/>
      <c r="K501" s="258"/>
    </row>
    <row r="502" spans="1:11" ht="25.5">
      <c r="A502" s="257" t="s">
        <v>1190</v>
      </c>
      <c r="B502" s="170" t="s">
        <v>1191</v>
      </c>
      <c r="C502" s="186" t="s">
        <v>34</v>
      </c>
      <c r="D502" s="186" t="s">
        <v>1192</v>
      </c>
      <c r="E502" s="171" t="s">
        <v>36</v>
      </c>
      <c r="F502" s="170">
        <v>1</v>
      </c>
      <c r="G502" s="172"/>
      <c r="H502" s="194"/>
      <c r="I502" s="172"/>
      <c r="J502" s="172"/>
      <c r="K502" s="258"/>
    </row>
    <row r="503" spans="1:11" ht="25.5">
      <c r="A503" s="257" t="s">
        <v>1193</v>
      </c>
      <c r="B503" s="170" t="s">
        <v>1194</v>
      </c>
      <c r="C503" s="186" t="s">
        <v>34</v>
      </c>
      <c r="D503" s="186" t="s">
        <v>1195</v>
      </c>
      <c r="E503" s="171" t="s">
        <v>36</v>
      </c>
      <c r="F503" s="170">
        <v>1</v>
      </c>
      <c r="G503" s="172"/>
      <c r="H503" s="194"/>
      <c r="I503" s="172"/>
      <c r="J503" s="172"/>
      <c r="K503" s="258"/>
    </row>
    <row r="504" spans="1:11" ht="25.5">
      <c r="A504" s="257" t="s">
        <v>1196</v>
      </c>
      <c r="B504" s="170" t="s">
        <v>1197</v>
      </c>
      <c r="C504" s="186" t="s">
        <v>34</v>
      </c>
      <c r="D504" s="186" t="s">
        <v>1198</v>
      </c>
      <c r="E504" s="171" t="s">
        <v>36</v>
      </c>
      <c r="F504" s="170">
        <v>2</v>
      </c>
      <c r="G504" s="172"/>
      <c r="H504" s="194"/>
      <c r="I504" s="172"/>
      <c r="J504" s="172"/>
      <c r="K504" s="258"/>
    </row>
    <row r="505" spans="1:11" ht="25.5">
      <c r="A505" s="257" t="s">
        <v>1199</v>
      </c>
      <c r="B505" s="170" t="s">
        <v>911</v>
      </c>
      <c r="C505" s="186" t="s">
        <v>34</v>
      </c>
      <c r="D505" s="186" t="s">
        <v>912</v>
      </c>
      <c r="E505" s="171" t="s">
        <v>80</v>
      </c>
      <c r="F505" s="170">
        <v>142</v>
      </c>
      <c r="G505" s="172"/>
      <c r="H505" s="194"/>
      <c r="I505" s="172"/>
      <c r="J505" s="172"/>
      <c r="K505" s="258"/>
    </row>
    <row r="506" spans="1:11">
      <c r="A506" s="257" t="s">
        <v>1200</v>
      </c>
      <c r="B506" s="170" t="s">
        <v>1201</v>
      </c>
      <c r="C506" s="186" t="s">
        <v>34</v>
      </c>
      <c r="D506" s="186" t="s">
        <v>1202</v>
      </c>
      <c r="E506" s="171" t="s">
        <v>80</v>
      </c>
      <c r="F506" s="170">
        <v>1</v>
      </c>
      <c r="G506" s="172"/>
      <c r="H506" s="194"/>
      <c r="I506" s="172"/>
      <c r="J506" s="172"/>
      <c r="K506" s="258"/>
    </row>
    <row r="507" spans="1:11">
      <c r="A507" s="257" t="s">
        <v>1203</v>
      </c>
      <c r="B507" s="170" t="s">
        <v>944</v>
      </c>
      <c r="C507" s="186" t="s">
        <v>34</v>
      </c>
      <c r="D507" s="186" t="s">
        <v>945</v>
      </c>
      <c r="E507" s="171" t="s">
        <v>80</v>
      </c>
      <c r="F507" s="170">
        <v>1</v>
      </c>
      <c r="G507" s="172"/>
      <c r="H507" s="194"/>
      <c r="I507" s="172"/>
      <c r="J507" s="172"/>
      <c r="K507" s="258"/>
    </row>
    <row r="508" spans="1:11" ht="25.5">
      <c r="A508" s="257" t="s">
        <v>1204</v>
      </c>
      <c r="B508" s="170" t="s">
        <v>1205</v>
      </c>
      <c r="C508" s="186" t="s">
        <v>34</v>
      </c>
      <c r="D508" s="186" t="s">
        <v>1206</v>
      </c>
      <c r="E508" s="171" t="s">
        <v>36</v>
      </c>
      <c r="F508" s="170">
        <v>1</v>
      </c>
      <c r="G508" s="172"/>
      <c r="H508" s="194"/>
      <c r="I508" s="172"/>
      <c r="J508" s="172"/>
      <c r="K508" s="258"/>
    </row>
    <row r="509" spans="1:11" ht="38.25">
      <c r="A509" s="257" t="s">
        <v>1207</v>
      </c>
      <c r="B509" s="170" t="s">
        <v>1208</v>
      </c>
      <c r="C509" s="186" t="s">
        <v>34</v>
      </c>
      <c r="D509" s="186" t="s">
        <v>1209</v>
      </c>
      <c r="E509" s="171" t="s">
        <v>36</v>
      </c>
      <c r="F509" s="170">
        <v>1</v>
      </c>
      <c r="G509" s="172"/>
      <c r="H509" s="194"/>
      <c r="I509" s="172"/>
      <c r="J509" s="172"/>
      <c r="K509" s="258"/>
    </row>
    <row r="510" spans="1:11" ht="25.5">
      <c r="A510" s="257" t="s">
        <v>1210</v>
      </c>
      <c r="B510" s="170" t="s">
        <v>1211</v>
      </c>
      <c r="C510" s="186" t="s">
        <v>34</v>
      </c>
      <c r="D510" s="186" t="s">
        <v>1212</v>
      </c>
      <c r="E510" s="171" t="s">
        <v>36</v>
      </c>
      <c r="F510" s="170">
        <v>1</v>
      </c>
      <c r="G510" s="172"/>
      <c r="H510" s="194"/>
      <c r="I510" s="172"/>
      <c r="J510" s="172"/>
      <c r="K510" s="258"/>
    </row>
    <row r="511" spans="1:11" ht="51">
      <c r="A511" s="257" t="s">
        <v>1213</v>
      </c>
      <c r="B511" s="170" t="s">
        <v>1214</v>
      </c>
      <c r="C511" s="186" t="s">
        <v>34</v>
      </c>
      <c r="D511" s="186" t="s">
        <v>1215</v>
      </c>
      <c r="E511" s="171" t="s">
        <v>36</v>
      </c>
      <c r="F511" s="170">
        <v>1</v>
      </c>
      <c r="G511" s="172"/>
      <c r="H511" s="194"/>
      <c r="I511" s="172"/>
      <c r="J511" s="172"/>
      <c r="K511" s="258"/>
    </row>
    <row r="512" spans="1:11" ht="38.25">
      <c r="A512" s="257" t="s">
        <v>1216</v>
      </c>
      <c r="B512" s="170" t="s">
        <v>1217</v>
      </c>
      <c r="C512" s="186" t="s">
        <v>34</v>
      </c>
      <c r="D512" s="186" t="s">
        <v>1218</v>
      </c>
      <c r="E512" s="171" t="s">
        <v>36</v>
      </c>
      <c r="F512" s="170">
        <v>3</v>
      </c>
      <c r="G512" s="172"/>
      <c r="H512" s="194"/>
      <c r="I512" s="172"/>
      <c r="J512" s="172"/>
      <c r="K512" s="258"/>
    </row>
    <row r="513" spans="1:11" ht="25.5">
      <c r="A513" s="257" t="s">
        <v>1219</v>
      </c>
      <c r="B513" s="170" t="s">
        <v>1220</v>
      </c>
      <c r="C513" s="186" t="s">
        <v>34</v>
      </c>
      <c r="D513" s="186" t="s">
        <v>1221</v>
      </c>
      <c r="E513" s="171" t="s">
        <v>36</v>
      </c>
      <c r="F513" s="170">
        <v>1</v>
      </c>
      <c r="G513" s="172"/>
      <c r="H513" s="194"/>
      <c r="I513" s="172"/>
      <c r="J513" s="172"/>
      <c r="K513" s="258"/>
    </row>
    <row r="514" spans="1:11" ht="51">
      <c r="A514" s="257" t="s">
        <v>1222</v>
      </c>
      <c r="B514" s="170" t="s">
        <v>1223</v>
      </c>
      <c r="C514" s="186" t="s">
        <v>34</v>
      </c>
      <c r="D514" s="186" t="s">
        <v>1224</v>
      </c>
      <c r="E514" s="171" t="s">
        <v>36</v>
      </c>
      <c r="F514" s="170">
        <v>1</v>
      </c>
      <c r="G514" s="172"/>
      <c r="H514" s="194"/>
      <c r="I514" s="172"/>
      <c r="J514" s="172"/>
      <c r="K514" s="258"/>
    </row>
    <row r="515" spans="1:11">
      <c r="A515" s="259" t="s">
        <v>1225</v>
      </c>
      <c r="B515" s="187"/>
      <c r="C515" s="187"/>
      <c r="D515" s="187" t="s">
        <v>1226</v>
      </c>
      <c r="E515" s="187"/>
      <c r="F515" s="169"/>
      <c r="G515" s="187"/>
      <c r="H515" s="187"/>
      <c r="I515" s="187"/>
      <c r="J515" s="168"/>
      <c r="K515" s="260"/>
    </row>
    <row r="516" spans="1:11" ht="25.5">
      <c r="A516" s="257" t="s">
        <v>1227</v>
      </c>
      <c r="B516" s="170" t="s">
        <v>1228</v>
      </c>
      <c r="C516" s="186" t="s">
        <v>34</v>
      </c>
      <c r="D516" s="186" t="s">
        <v>1229</v>
      </c>
      <c r="E516" s="171" t="s">
        <v>36</v>
      </c>
      <c r="F516" s="170">
        <v>3</v>
      </c>
      <c r="G516" s="172"/>
      <c r="H516" s="194"/>
      <c r="I516" s="172"/>
      <c r="J516" s="172"/>
      <c r="K516" s="258"/>
    </row>
    <row r="517" spans="1:11" ht="25.5">
      <c r="A517" s="257" t="s">
        <v>1230</v>
      </c>
      <c r="B517" s="170" t="s">
        <v>5719</v>
      </c>
      <c r="C517" s="186" t="s">
        <v>43</v>
      </c>
      <c r="D517" s="186" t="s">
        <v>1231</v>
      </c>
      <c r="E517" s="171" t="s">
        <v>36</v>
      </c>
      <c r="F517" s="170">
        <v>3</v>
      </c>
      <c r="G517" s="172"/>
      <c r="H517" s="194"/>
      <c r="I517" s="172"/>
      <c r="J517" s="172"/>
      <c r="K517" s="258"/>
    </row>
    <row r="518" spans="1:11">
      <c r="A518" s="257" t="s">
        <v>1232</v>
      </c>
      <c r="B518" s="170" t="s">
        <v>1233</v>
      </c>
      <c r="C518" s="186" t="s">
        <v>34</v>
      </c>
      <c r="D518" s="186" t="s">
        <v>1234</v>
      </c>
      <c r="E518" s="171" t="s">
        <v>36</v>
      </c>
      <c r="F518" s="170">
        <v>1</v>
      </c>
      <c r="G518" s="172"/>
      <c r="H518" s="194"/>
      <c r="I518" s="172"/>
      <c r="J518" s="172"/>
      <c r="K518" s="258"/>
    </row>
    <row r="519" spans="1:11">
      <c r="A519" s="257" t="s">
        <v>1235</v>
      </c>
      <c r="B519" s="170" t="s">
        <v>5704</v>
      </c>
      <c r="C519" s="186" t="s">
        <v>34</v>
      </c>
      <c r="D519" s="186" t="s">
        <v>4043</v>
      </c>
      <c r="E519" s="171" t="s">
        <v>36</v>
      </c>
      <c r="F519" s="170">
        <v>7</v>
      </c>
      <c r="G519" s="172"/>
      <c r="H519" s="194"/>
      <c r="I519" s="172"/>
      <c r="J519" s="172"/>
      <c r="K519" s="258"/>
    </row>
    <row r="520" spans="1:11" ht="38.25">
      <c r="A520" s="257" t="s">
        <v>1236</v>
      </c>
      <c r="B520" s="170" t="s">
        <v>1237</v>
      </c>
      <c r="C520" s="186" t="s">
        <v>43</v>
      </c>
      <c r="D520" s="186" t="s">
        <v>1238</v>
      </c>
      <c r="E520" s="171" t="s">
        <v>36</v>
      </c>
      <c r="F520" s="170">
        <v>1</v>
      </c>
      <c r="G520" s="172"/>
      <c r="H520" s="194"/>
      <c r="I520" s="172"/>
      <c r="J520" s="172"/>
      <c r="K520" s="258"/>
    </row>
    <row r="521" spans="1:11" ht="38.25">
      <c r="A521" s="257" t="s">
        <v>1239</v>
      </c>
      <c r="B521" s="170" t="s">
        <v>5720</v>
      </c>
      <c r="C521" s="186" t="s">
        <v>43</v>
      </c>
      <c r="D521" s="186" t="s">
        <v>1240</v>
      </c>
      <c r="E521" s="171" t="s">
        <v>36</v>
      </c>
      <c r="F521" s="170">
        <v>4</v>
      </c>
      <c r="G521" s="172"/>
      <c r="H521" s="194"/>
      <c r="I521" s="172"/>
      <c r="J521" s="172"/>
      <c r="K521" s="258"/>
    </row>
    <row r="522" spans="1:11" ht="38.25">
      <c r="A522" s="257" t="s">
        <v>1241</v>
      </c>
      <c r="B522" s="170" t="s">
        <v>5705</v>
      </c>
      <c r="C522" s="186" t="s">
        <v>43</v>
      </c>
      <c r="D522" s="186" t="s">
        <v>5640</v>
      </c>
      <c r="E522" s="171" t="s">
        <v>36</v>
      </c>
      <c r="F522" s="170">
        <v>7</v>
      </c>
      <c r="G522" s="172"/>
      <c r="H522" s="194"/>
      <c r="I522" s="172"/>
      <c r="J522" s="172"/>
      <c r="K522" s="258"/>
    </row>
    <row r="523" spans="1:11" ht="38.25">
      <c r="A523" s="257" t="s">
        <v>1243</v>
      </c>
      <c r="B523" s="170" t="s">
        <v>5655</v>
      </c>
      <c r="C523" s="186" t="s">
        <v>34</v>
      </c>
      <c r="D523" s="186" t="s">
        <v>5641</v>
      </c>
      <c r="E523" s="171" t="s">
        <v>36</v>
      </c>
      <c r="F523" s="170">
        <v>2</v>
      </c>
      <c r="G523" s="172"/>
      <c r="H523" s="194"/>
      <c r="I523" s="172"/>
      <c r="J523" s="172"/>
      <c r="K523" s="258"/>
    </row>
    <row r="524" spans="1:11" ht="38.25">
      <c r="A524" s="257" t="s">
        <v>1245</v>
      </c>
      <c r="B524" s="170" t="s">
        <v>1246</v>
      </c>
      <c r="C524" s="186" t="s">
        <v>43</v>
      </c>
      <c r="D524" s="186" t="s">
        <v>1247</v>
      </c>
      <c r="E524" s="171" t="s">
        <v>36</v>
      </c>
      <c r="F524" s="170">
        <v>5</v>
      </c>
      <c r="G524" s="172"/>
      <c r="H524" s="194"/>
      <c r="I524" s="172"/>
      <c r="J524" s="172"/>
      <c r="K524" s="258"/>
    </row>
    <row r="525" spans="1:11">
      <c r="A525" s="257" t="s">
        <v>1248</v>
      </c>
      <c r="B525" s="170" t="s">
        <v>1249</v>
      </c>
      <c r="C525" s="186" t="s">
        <v>34</v>
      </c>
      <c r="D525" s="186" t="s">
        <v>1250</v>
      </c>
      <c r="E525" s="171" t="s">
        <v>36</v>
      </c>
      <c r="F525" s="170">
        <v>6</v>
      </c>
      <c r="G525" s="172"/>
      <c r="H525" s="194"/>
      <c r="I525" s="172"/>
      <c r="J525" s="172"/>
      <c r="K525" s="258"/>
    </row>
    <row r="526" spans="1:11">
      <c r="A526" s="257" t="s">
        <v>1251</v>
      </c>
      <c r="B526" s="170" t="s">
        <v>1252</v>
      </c>
      <c r="C526" s="186" t="s">
        <v>34</v>
      </c>
      <c r="D526" s="186" t="s">
        <v>1253</v>
      </c>
      <c r="E526" s="171" t="s">
        <v>144</v>
      </c>
      <c r="F526" s="170">
        <v>24.91</v>
      </c>
      <c r="G526" s="172"/>
      <c r="H526" s="194"/>
      <c r="I526" s="172"/>
      <c r="J526" s="172"/>
      <c r="K526" s="258"/>
    </row>
    <row r="527" spans="1:11">
      <c r="A527" s="257" t="s">
        <v>1254</v>
      </c>
      <c r="B527" s="170" t="s">
        <v>5721</v>
      </c>
      <c r="C527" s="186" t="s">
        <v>34</v>
      </c>
      <c r="D527" s="186" t="s">
        <v>1255</v>
      </c>
      <c r="E527" s="171" t="s">
        <v>144</v>
      </c>
      <c r="F527" s="170">
        <v>118.53</v>
      </c>
      <c r="G527" s="172"/>
      <c r="H527" s="194"/>
      <c r="I527" s="172"/>
      <c r="J527" s="172"/>
      <c r="K527" s="258"/>
    </row>
    <row r="528" spans="1:11">
      <c r="A528" s="257" t="s">
        <v>1256</v>
      </c>
      <c r="B528" s="170" t="s">
        <v>5722</v>
      </c>
      <c r="C528" s="186" t="s">
        <v>34</v>
      </c>
      <c r="D528" s="186" t="s">
        <v>1257</v>
      </c>
      <c r="E528" s="171" t="s">
        <v>36</v>
      </c>
      <c r="F528" s="170">
        <v>3</v>
      </c>
      <c r="G528" s="172"/>
      <c r="H528" s="194"/>
      <c r="I528" s="172"/>
      <c r="J528" s="172"/>
      <c r="K528" s="258"/>
    </row>
    <row r="529" spans="1:11">
      <c r="A529" s="259" t="s">
        <v>1258</v>
      </c>
      <c r="B529" s="187"/>
      <c r="C529" s="187"/>
      <c r="D529" s="187" t="s">
        <v>17</v>
      </c>
      <c r="E529" s="187"/>
      <c r="F529" s="169"/>
      <c r="G529" s="187"/>
      <c r="H529" s="193"/>
      <c r="I529" s="187"/>
      <c r="J529" s="168"/>
      <c r="K529" s="260"/>
    </row>
    <row r="530" spans="1:11">
      <c r="A530" s="259" t="s">
        <v>1259</v>
      </c>
      <c r="B530" s="187"/>
      <c r="C530" s="187"/>
      <c r="D530" s="187" t="s">
        <v>76</v>
      </c>
      <c r="E530" s="187"/>
      <c r="F530" s="169"/>
      <c r="G530" s="187"/>
      <c r="H530" s="193"/>
      <c r="I530" s="187"/>
      <c r="J530" s="168"/>
      <c r="K530" s="260"/>
    </row>
    <row r="531" spans="1:11" ht="38.25">
      <c r="A531" s="257" t="s">
        <v>1260</v>
      </c>
      <c r="B531" s="170" t="s">
        <v>78</v>
      </c>
      <c r="C531" s="186" t="s">
        <v>43</v>
      </c>
      <c r="D531" s="186" t="s">
        <v>79</v>
      </c>
      <c r="E531" s="171" t="s">
        <v>80</v>
      </c>
      <c r="F531" s="170">
        <v>552.36</v>
      </c>
      <c r="G531" s="172"/>
      <c r="H531" s="194"/>
      <c r="I531" s="172"/>
      <c r="J531" s="172"/>
      <c r="K531" s="258"/>
    </row>
    <row r="532" spans="1:11" ht="38.25">
      <c r="A532" s="257" t="s">
        <v>1261</v>
      </c>
      <c r="B532" s="170" t="s">
        <v>82</v>
      </c>
      <c r="C532" s="186" t="s">
        <v>43</v>
      </c>
      <c r="D532" s="186" t="s">
        <v>83</v>
      </c>
      <c r="E532" s="171" t="s">
        <v>80</v>
      </c>
      <c r="F532" s="170">
        <v>412</v>
      </c>
      <c r="G532" s="172"/>
      <c r="H532" s="194"/>
      <c r="I532" s="172"/>
      <c r="J532" s="172"/>
      <c r="K532" s="258"/>
    </row>
    <row r="533" spans="1:11" ht="38.25">
      <c r="A533" s="257" t="s">
        <v>1262</v>
      </c>
      <c r="B533" s="170" t="s">
        <v>85</v>
      </c>
      <c r="C533" s="186" t="s">
        <v>43</v>
      </c>
      <c r="D533" s="186" t="s">
        <v>86</v>
      </c>
      <c r="E533" s="171" t="s">
        <v>80</v>
      </c>
      <c r="F533" s="170">
        <v>674.36</v>
      </c>
      <c r="G533" s="172"/>
      <c r="H533" s="194"/>
      <c r="I533" s="172"/>
      <c r="J533" s="172"/>
      <c r="K533" s="258"/>
    </row>
    <row r="534" spans="1:11" ht="38.25">
      <c r="A534" s="257" t="s">
        <v>1263</v>
      </c>
      <c r="B534" s="170" t="s">
        <v>88</v>
      </c>
      <c r="C534" s="186" t="s">
        <v>43</v>
      </c>
      <c r="D534" s="186" t="s">
        <v>89</v>
      </c>
      <c r="E534" s="171" t="s">
        <v>80</v>
      </c>
      <c r="F534" s="170">
        <v>430.83</v>
      </c>
      <c r="G534" s="172"/>
      <c r="H534" s="194"/>
      <c r="I534" s="172"/>
      <c r="J534" s="172"/>
      <c r="K534" s="258"/>
    </row>
    <row r="535" spans="1:11" ht="38.25">
      <c r="A535" s="257" t="s">
        <v>1264</v>
      </c>
      <c r="B535" s="170" t="s">
        <v>91</v>
      </c>
      <c r="C535" s="186" t="s">
        <v>43</v>
      </c>
      <c r="D535" s="186" t="s">
        <v>92</v>
      </c>
      <c r="E535" s="171" t="s">
        <v>80</v>
      </c>
      <c r="F535" s="170">
        <v>668.46</v>
      </c>
      <c r="G535" s="172"/>
      <c r="H535" s="194"/>
      <c r="I535" s="172"/>
      <c r="J535" s="172"/>
      <c r="K535" s="258"/>
    </row>
    <row r="536" spans="1:11" ht="38.25">
      <c r="A536" s="257" t="s">
        <v>1265</v>
      </c>
      <c r="B536" s="170" t="s">
        <v>94</v>
      </c>
      <c r="C536" s="186" t="s">
        <v>43</v>
      </c>
      <c r="D536" s="186" t="s">
        <v>95</v>
      </c>
      <c r="E536" s="171" t="s">
        <v>80</v>
      </c>
      <c r="F536" s="170">
        <v>535.38</v>
      </c>
      <c r="G536" s="172"/>
      <c r="H536" s="194"/>
      <c r="I536" s="172"/>
      <c r="J536" s="172"/>
      <c r="K536" s="258"/>
    </row>
    <row r="537" spans="1:11" ht="38.25">
      <c r="A537" s="257" t="s">
        <v>1266</v>
      </c>
      <c r="B537" s="170" t="s">
        <v>97</v>
      </c>
      <c r="C537" s="186" t="s">
        <v>43</v>
      </c>
      <c r="D537" s="186" t="s">
        <v>98</v>
      </c>
      <c r="E537" s="171" t="s">
        <v>80</v>
      </c>
      <c r="F537" s="170">
        <v>2182.66</v>
      </c>
      <c r="G537" s="172"/>
      <c r="H537" s="194"/>
      <c r="I537" s="172"/>
      <c r="J537" s="172"/>
      <c r="K537" s="258"/>
    </row>
    <row r="538" spans="1:11" ht="51">
      <c r="A538" s="257" t="s">
        <v>1267</v>
      </c>
      <c r="B538" s="170" t="s">
        <v>100</v>
      </c>
      <c r="C538" s="186" t="s">
        <v>43</v>
      </c>
      <c r="D538" s="186" t="s">
        <v>101</v>
      </c>
      <c r="E538" s="171" t="s">
        <v>45</v>
      </c>
      <c r="F538" s="170">
        <v>193.3</v>
      </c>
      <c r="G538" s="172"/>
      <c r="H538" s="194"/>
      <c r="I538" s="172"/>
      <c r="J538" s="172"/>
      <c r="K538" s="258"/>
    </row>
    <row r="539" spans="1:11" ht="38.25">
      <c r="A539" s="257" t="s">
        <v>1268</v>
      </c>
      <c r="B539" s="170" t="s">
        <v>103</v>
      </c>
      <c r="C539" s="186" t="s">
        <v>43</v>
      </c>
      <c r="D539" s="186" t="s">
        <v>104</v>
      </c>
      <c r="E539" s="171" t="s">
        <v>45</v>
      </c>
      <c r="F539" s="170">
        <v>344.2</v>
      </c>
      <c r="G539" s="172"/>
      <c r="H539" s="194"/>
      <c r="I539" s="172"/>
      <c r="J539" s="172"/>
      <c r="K539" s="258"/>
    </row>
    <row r="540" spans="1:11" ht="26.45" customHeight="1">
      <c r="A540" s="257" t="s">
        <v>1269</v>
      </c>
      <c r="B540" s="170" t="s">
        <v>106</v>
      </c>
      <c r="C540" s="186" t="s">
        <v>43</v>
      </c>
      <c r="D540" s="186" t="s">
        <v>107</v>
      </c>
      <c r="E540" s="171" t="s">
        <v>80</v>
      </c>
      <c r="F540" s="170">
        <v>295.64</v>
      </c>
      <c r="G540" s="172"/>
      <c r="H540" s="194"/>
      <c r="I540" s="172"/>
      <c r="J540" s="172"/>
      <c r="K540" s="258"/>
    </row>
    <row r="541" spans="1:11" ht="26.45" customHeight="1">
      <c r="A541" s="257" t="s">
        <v>1270</v>
      </c>
      <c r="B541" s="170" t="s">
        <v>109</v>
      </c>
      <c r="C541" s="186" t="s">
        <v>43</v>
      </c>
      <c r="D541" s="186" t="s">
        <v>110</v>
      </c>
      <c r="E541" s="171" t="s">
        <v>80</v>
      </c>
      <c r="F541" s="170">
        <v>669.28</v>
      </c>
      <c r="G541" s="172"/>
      <c r="H541" s="194"/>
      <c r="I541" s="172"/>
      <c r="J541" s="172"/>
      <c r="K541" s="258"/>
    </row>
    <row r="542" spans="1:11" ht="25.5">
      <c r="A542" s="257" t="s">
        <v>1271</v>
      </c>
      <c r="B542" s="170" t="s">
        <v>112</v>
      </c>
      <c r="C542" s="186" t="s">
        <v>43</v>
      </c>
      <c r="D542" s="186" t="s">
        <v>113</v>
      </c>
      <c r="E542" s="171" t="s">
        <v>80</v>
      </c>
      <c r="F542" s="170">
        <v>3444.27</v>
      </c>
      <c r="G542" s="172"/>
      <c r="H542" s="194"/>
      <c r="I542" s="172"/>
      <c r="J542" s="172"/>
      <c r="K542" s="258"/>
    </row>
    <row r="543" spans="1:11" ht="25.5">
      <c r="A543" s="257" t="s">
        <v>1272</v>
      </c>
      <c r="B543" s="170" t="s">
        <v>115</v>
      </c>
      <c r="C543" s="186" t="s">
        <v>43</v>
      </c>
      <c r="D543" s="186" t="s">
        <v>116</v>
      </c>
      <c r="E543" s="171" t="s">
        <v>80</v>
      </c>
      <c r="F543" s="170">
        <v>128.55000000000001</v>
      </c>
      <c r="G543" s="172"/>
      <c r="H543" s="194"/>
      <c r="I543" s="172"/>
      <c r="J543" s="172"/>
      <c r="K543" s="258"/>
    </row>
    <row r="544" spans="1:11" ht="38.25">
      <c r="A544" s="257" t="s">
        <v>1273</v>
      </c>
      <c r="B544" s="170" t="s">
        <v>1274</v>
      </c>
      <c r="C544" s="186" t="s">
        <v>43</v>
      </c>
      <c r="D544" s="186" t="s">
        <v>1275</v>
      </c>
      <c r="E544" s="171" t="s">
        <v>144</v>
      </c>
      <c r="F544" s="170">
        <v>27.36</v>
      </c>
      <c r="G544" s="172"/>
      <c r="H544" s="194"/>
      <c r="I544" s="172"/>
      <c r="J544" s="172"/>
      <c r="K544" s="258"/>
    </row>
    <row r="545" spans="1:11" ht="26.45" customHeight="1">
      <c r="A545" s="257" t="s">
        <v>1276</v>
      </c>
      <c r="B545" s="170" t="s">
        <v>118</v>
      </c>
      <c r="C545" s="186" t="s">
        <v>43</v>
      </c>
      <c r="D545" s="186" t="s">
        <v>119</v>
      </c>
      <c r="E545" s="171" t="s">
        <v>80</v>
      </c>
      <c r="F545" s="170">
        <v>468.27</v>
      </c>
      <c r="G545" s="172"/>
      <c r="H545" s="194"/>
      <c r="I545" s="172"/>
      <c r="J545" s="172"/>
      <c r="K545" s="258"/>
    </row>
    <row r="546" spans="1:11" ht="38.25">
      <c r="A546" s="257" t="s">
        <v>1277</v>
      </c>
      <c r="B546" s="170" t="s">
        <v>131</v>
      </c>
      <c r="C546" s="186" t="s">
        <v>43</v>
      </c>
      <c r="D546" s="186" t="s">
        <v>132</v>
      </c>
      <c r="E546" s="171" t="s">
        <v>45</v>
      </c>
      <c r="F546" s="170">
        <v>484.59</v>
      </c>
      <c r="G546" s="172"/>
      <c r="H546" s="194"/>
      <c r="I546" s="172"/>
      <c r="J546" s="172"/>
      <c r="K546" s="258"/>
    </row>
    <row r="547" spans="1:11" ht="25.5">
      <c r="A547" s="257" t="s">
        <v>1278</v>
      </c>
      <c r="B547" s="170" t="s">
        <v>1279</v>
      </c>
      <c r="C547" s="186" t="s">
        <v>43</v>
      </c>
      <c r="D547" s="186" t="s">
        <v>1280</v>
      </c>
      <c r="E547" s="171" t="s">
        <v>80</v>
      </c>
      <c r="F547" s="170">
        <v>200.01</v>
      </c>
      <c r="G547" s="172"/>
      <c r="H547" s="194"/>
      <c r="I547" s="172"/>
      <c r="J547" s="172"/>
      <c r="K547" s="258"/>
    </row>
    <row r="548" spans="1:11" ht="38.25">
      <c r="A548" s="257" t="s">
        <v>1281</v>
      </c>
      <c r="B548" s="170" t="s">
        <v>124</v>
      </c>
      <c r="C548" s="186" t="s">
        <v>34</v>
      </c>
      <c r="D548" s="186" t="s">
        <v>125</v>
      </c>
      <c r="E548" s="171" t="s">
        <v>126</v>
      </c>
      <c r="F548" s="170">
        <v>153.4</v>
      </c>
      <c r="G548" s="172"/>
      <c r="H548" s="194"/>
      <c r="I548" s="172"/>
      <c r="J548" s="172"/>
      <c r="K548" s="258"/>
    </row>
    <row r="549" spans="1:11" ht="39.6" customHeight="1">
      <c r="A549" s="257" t="s">
        <v>1282</v>
      </c>
      <c r="B549" s="170" t="s">
        <v>121</v>
      </c>
      <c r="C549" s="186" t="s">
        <v>43</v>
      </c>
      <c r="D549" s="186" t="s">
        <v>122</v>
      </c>
      <c r="E549" s="171" t="s">
        <v>45</v>
      </c>
      <c r="F549" s="170">
        <v>94.36</v>
      </c>
      <c r="G549" s="172"/>
      <c r="H549" s="194"/>
      <c r="I549" s="172"/>
      <c r="J549" s="172"/>
      <c r="K549" s="258"/>
    </row>
    <row r="550" spans="1:11">
      <c r="A550" s="259" t="s">
        <v>1283</v>
      </c>
      <c r="B550" s="187"/>
      <c r="C550" s="187"/>
      <c r="D550" s="187" t="s">
        <v>134</v>
      </c>
      <c r="E550" s="187"/>
      <c r="F550" s="169"/>
      <c r="G550" s="187"/>
      <c r="H550" s="193"/>
      <c r="I550" s="187"/>
      <c r="J550" s="168"/>
      <c r="K550" s="260"/>
    </row>
    <row r="551" spans="1:11" ht="38.25">
      <c r="A551" s="257" t="s">
        <v>1284</v>
      </c>
      <c r="B551" s="170" t="s">
        <v>976</v>
      </c>
      <c r="C551" s="186" t="s">
        <v>43</v>
      </c>
      <c r="D551" s="186" t="s">
        <v>977</v>
      </c>
      <c r="E551" s="171" t="s">
        <v>45</v>
      </c>
      <c r="F551" s="170">
        <v>602.1</v>
      </c>
      <c r="G551" s="172"/>
      <c r="H551" s="194"/>
      <c r="I551" s="172"/>
      <c r="J551" s="172"/>
      <c r="K551" s="258"/>
    </row>
    <row r="552" spans="1:11" ht="38.25">
      <c r="A552" s="257" t="s">
        <v>1285</v>
      </c>
      <c r="B552" s="170" t="s">
        <v>139</v>
      </c>
      <c r="C552" s="186" t="s">
        <v>43</v>
      </c>
      <c r="D552" s="186" t="s">
        <v>140</v>
      </c>
      <c r="E552" s="171" t="s">
        <v>45</v>
      </c>
      <c r="F552" s="170">
        <v>5.4</v>
      </c>
      <c r="G552" s="172"/>
      <c r="H552" s="194"/>
      <c r="I552" s="172"/>
      <c r="J552" s="172"/>
      <c r="K552" s="258"/>
    </row>
    <row r="553" spans="1:11" ht="25.5">
      <c r="A553" s="257" t="s">
        <v>1286</v>
      </c>
      <c r="B553" s="170" t="s">
        <v>142</v>
      </c>
      <c r="C553" s="186" t="s">
        <v>43</v>
      </c>
      <c r="D553" s="186" t="s">
        <v>143</v>
      </c>
      <c r="E553" s="171" t="s">
        <v>144</v>
      </c>
      <c r="F553" s="170">
        <v>4.2</v>
      </c>
      <c r="G553" s="172"/>
      <c r="H553" s="194"/>
      <c r="I553" s="172"/>
      <c r="J553" s="172"/>
      <c r="K553" s="258"/>
    </row>
    <row r="554" spans="1:11" ht="25.5">
      <c r="A554" s="257" t="s">
        <v>1287</v>
      </c>
      <c r="B554" s="170" t="s">
        <v>146</v>
      </c>
      <c r="C554" s="186" t="s">
        <v>43</v>
      </c>
      <c r="D554" s="186" t="s">
        <v>147</v>
      </c>
      <c r="E554" s="171" t="s">
        <v>144</v>
      </c>
      <c r="F554" s="170">
        <v>17.3</v>
      </c>
      <c r="G554" s="172"/>
      <c r="H554" s="194"/>
      <c r="I554" s="172"/>
      <c r="J554" s="172"/>
      <c r="K554" s="258"/>
    </row>
    <row r="555" spans="1:11">
      <c r="A555" s="257" t="s">
        <v>1288</v>
      </c>
      <c r="B555" s="170" t="s">
        <v>149</v>
      </c>
      <c r="C555" s="186" t="s">
        <v>43</v>
      </c>
      <c r="D555" s="186" t="s">
        <v>150</v>
      </c>
      <c r="E555" s="171" t="s">
        <v>144</v>
      </c>
      <c r="F555" s="170">
        <v>5.34</v>
      </c>
      <c r="G555" s="172"/>
      <c r="H555" s="194"/>
      <c r="I555" s="172"/>
      <c r="J555" s="172"/>
      <c r="K555" s="258"/>
    </row>
    <row r="556" spans="1:11">
      <c r="A556" s="257" t="s">
        <v>1289</v>
      </c>
      <c r="B556" s="170" t="s">
        <v>152</v>
      </c>
      <c r="C556" s="186" t="s">
        <v>43</v>
      </c>
      <c r="D556" s="186" t="s">
        <v>153</v>
      </c>
      <c r="E556" s="171" t="s">
        <v>144</v>
      </c>
      <c r="F556" s="170">
        <v>51.68</v>
      </c>
      <c r="G556" s="172"/>
      <c r="H556" s="194"/>
      <c r="I556" s="172"/>
      <c r="J556" s="172"/>
      <c r="K556" s="258"/>
    </row>
    <row r="557" spans="1:11">
      <c r="A557" s="259" t="s">
        <v>1290</v>
      </c>
      <c r="B557" s="187"/>
      <c r="C557" s="187"/>
      <c r="D557" s="187" t="s">
        <v>158</v>
      </c>
      <c r="E557" s="187"/>
      <c r="F557" s="169"/>
      <c r="G557" s="187"/>
      <c r="H557" s="193"/>
      <c r="I557" s="187"/>
      <c r="J557" s="168"/>
      <c r="K557" s="260"/>
    </row>
    <row r="558" spans="1:11" ht="39.6" customHeight="1">
      <c r="A558" s="257" t="s">
        <v>1291</v>
      </c>
      <c r="B558" s="170" t="s">
        <v>160</v>
      </c>
      <c r="C558" s="186" t="s">
        <v>43</v>
      </c>
      <c r="D558" s="186" t="s">
        <v>161</v>
      </c>
      <c r="E558" s="171" t="s">
        <v>144</v>
      </c>
      <c r="F558" s="170">
        <v>40</v>
      </c>
      <c r="G558" s="172"/>
      <c r="H558" s="194"/>
      <c r="I558" s="172"/>
      <c r="J558" s="172"/>
      <c r="K558" s="258"/>
    </row>
    <row r="559" spans="1:11" ht="38.25">
      <c r="A559" s="257" t="s">
        <v>1292</v>
      </c>
      <c r="B559" s="170" t="s">
        <v>169</v>
      </c>
      <c r="C559" s="186" t="s">
        <v>43</v>
      </c>
      <c r="D559" s="186" t="s">
        <v>170</v>
      </c>
      <c r="E559" s="171" t="s">
        <v>144</v>
      </c>
      <c r="F559" s="170">
        <v>98.37</v>
      </c>
      <c r="G559" s="172"/>
      <c r="H559" s="194"/>
      <c r="I559" s="172"/>
      <c r="J559" s="172"/>
      <c r="K559" s="258"/>
    </row>
    <row r="560" spans="1:11" ht="38.25">
      <c r="A560" s="257" t="s">
        <v>1293</v>
      </c>
      <c r="B560" s="170" t="s">
        <v>175</v>
      </c>
      <c r="C560" s="186" t="s">
        <v>34</v>
      </c>
      <c r="D560" s="186" t="s">
        <v>176</v>
      </c>
      <c r="E560" s="171" t="s">
        <v>45</v>
      </c>
      <c r="F560" s="170">
        <v>462.05</v>
      </c>
      <c r="G560" s="172"/>
      <c r="H560" s="194"/>
      <c r="I560" s="172"/>
      <c r="J560" s="172"/>
      <c r="K560" s="258"/>
    </row>
    <row r="561" spans="1:11" ht="51">
      <c r="A561" s="257" t="s">
        <v>1294</v>
      </c>
      <c r="B561" s="170" t="s">
        <v>181</v>
      </c>
      <c r="C561" s="186" t="s">
        <v>43</v>
      </c>
      <c r="D561" s="186" t="s">
        <v>182</v>
      </c>
      <c r="E561" s="171" t="s">
        <v>45</v>
      </c>
      <c r="F561" s="170">
        <v>462.05</v>
      </c>
      <c r="G561" s="172"/>
      <c r="H561" s="194"/>
      <c r="I561" s="172"/>
      <c r="J561" s="172"/>
      <c r="K561" s="258"/>
    </row>
    <row r="562" spans="1:11" ht="25.5">
      <c r="A562" s="257" t="s">
        <v>1295</v>
      </c>
      <c r="B562" s="170" t="s">
        <v>1296</v>
      </c>
      <c r="C562" s="186" t="s">
        <v>43</v>
      </c>
      <c r="D562" s="186" t="s">
        <v>1297</v>
      </c>
      <c r="E562" s="171" t="s">
        <v>144</v>
      </c>
      <c r="F562" s="170">
        <v>20</v>
      </c>
      <c r="G562" s="172"/>
      <c r="H562" s="194"/>
      <c r="I562" s="172"/>
      <c r="J562" s="172"/>
      <c r="K562" s="258"/>
    </row>
    <row r="563" spans="1:11" ht="26.45" customHeight="1">
      <c r="A563" s="257" t="s">
        <v>1298</v>
      </c>
      <c r="B563" s="170" t="s">
        <v>187</v>
      </c>
      <c r="C563" s="186" t="s">
        <v>43</v>
      </c>
      <c r="D563" s="186" t="s">
        <v>188</v>
      </c>
      <c r="E563" s="171" t="s">
        <v>144</v>
      </c>
      <c r="F563" s="170">
        <v>92.66</v>
      </c>
      <c r="G563" s="172"/>
      <c r="H563" s="194"/>
      <c r="I563" s="172"/>
      <c r="J563" s="172"/>
      <c r="K563" s="258"/>
    </row>
    <row r="564" spans="1:11">
      <c r="A564" s="259" t="s">
        <v>1299</v>
      </c>
      <c r="B564" s="187"/>
      <c r="C564" s="187"/>
      <c r="D564" s="187" t="s">
        <v>190</v>
      </c>
      <c r="E564" s="187"/>
      <c r="F564" s="169"/>
      <c r="G564" s="187"/>
      <c r="H564" s="193"/>
      <c r="I564" s="187"/>
      <c r="J564" s="168"/>
      <c r="K564" s="260"/>
    </row>
    <row r="565" spans="1:11" ht="25.5">
      <c r="A565" s="257" t="s">
        <v>1300</v>
      </c>
      <c r="B565" s="170" t="s">
        <v>192</v>
      </c>
      <c r="C565" s="186" t="s">
        <v>43</v>
      </c>
      <c r="D565" s="186" t="s">
        <v>193</v>
      </c>
      <c r="E565" s="171" t="s">
        <v>45</v>
      </c>
      <c r="F565" s="170">
        <v>955.62</v>
      </c>
      <c r="G565" s="172"/>
      <c r="H565" s="194"/>
      <c r="I565" s="172"/>
      <c r="J565" s="172"/>
      <c r="K565" s="258"/>
    </row>
    <row r="566" spans="1:11" ht="38.25">
      <c r="A566" s="257" t="s">
        <v>1301</v>
      </c>
      <c r="B566" s="170" t="s">
        <v>195</v>
      </c>
      <c r="C566" s="186" t="s">
        <v>43</v>
      </c>
      <c r="D566" s="186" t="s">
        <v>196</v>
      </c>
      <c r="E566" s="171" t="s">
        <v>45</v>
      </c>
      <c r="F566" s="170">
        <v>852.97</v>
      </c>
      <c r="G566" s="172"/>
      <c r="H566" s="194"/>
      <c r="I566" s="172"/>
      <c r="J566" s="172"/>
      <c r="K566" s="258"/>
    </row>
    <row r="567" spans="1:11" ht="25.5">
      <c r="A567" s="257" t="s">
        <v>1302</v>
      </c>
      <c r="B567" s="170" t="s">
        <v>1303</v>
      </c>
      <c r="C567" s="186" t="s">
        <v>43</v>
      </c>
      <c r="D567" s="186" t="s">
        <v>1304</v>
      </c>
      <c r="E567" s="171" t="s">
        <v>45</v>
      </c>
      <c r="F567" s="170">
        <v>585.75</v>
      </c>
      <c r="G567" s="172"/>
      <c r="H567" s="194"/>
      <c r="I567" s="172"/>
      <c r="J567" s="172"/>
      <c r="K567" s="258"/>
    </row>
    <row r="568" spans="1:11" ht="25.5">
      <c r="A568" s="257" t="s">
        <v>1305</v>
      </c>
      <c r="B568" s="170" t="s">
        <v>201</v>
      </c>
      <c r="C568" s="186" t="s">
        <v>43</v>
      </c>
      <c r="D568" s="186" t="s">
        <v>202</v>
      </c>
      <c r="E568" s="171" t="s">
        <v>45</v>
      </c>
      <c r="F568" s="170">
        <v>826.78</v>
      </c>
      <c r="G568" s="172"/>
      <c r="H568" s="194"/>
      <c r="I568" s="172"/>
      <c r="J568" s="172"/>
      <c r="K568" s="258"/>
    </row>
    <row r="569" spans="1:11">
      <c r="A569" s="259" t="s">
        <v>1306</v>
      </c>
      <c r="B569" s="187"/>
      <c r="C569" s="187"/>
      <c r="D569" s="187" t="s">
        <v>204</v>
      </c>
      <c r="E569" s="187"/>
      <c r="F569" s="169"/>
      <c r="G569" s="187"/>
      <c r="H569" s="193"/>
      <c r="I569" s="187"/>
      <c r="J569" s="168"/>
      <c r="K569" s="260"/>
    </row>
    <row r="570" spans="1:11" ht="38.25">
      <c r="A570" s="257" t="s">
        <v>1307</v>
      </c>
      <c r="B570" s="170" t="s">
        <v>206</v>
      </c>
      <c r="C570" s="186" t="s">
        <v>43</v>
      </c>
      <c r="D570" s="186" t="s">
        <v>207</v>
      </c>
      <c r="E570" s="171" t="s">
        <v>45</v>
      </c>
      <c r="F570" s="170">
        <v>371.52</v>
      </c>
      <c r="G570" s="172"/>
      <c r="H570" s="194"/>
      <c r="I570" s="172"/>
      <c r="J570" s="172"/>
      <c r="K570" s="258"/>
    </row>
    <row r="571" spans="1:11" ht="25.5">
      <c r="A571" s="257" t="s">
        <v>1308</v>
      </c>
      <c r="B571" s="170" t="s">
        <v>209</v>
      </c>
      <c r="C571" s="186" t="s">
        <v>43</v>
      </c>
      <c r="D571" s="186" t="s">
        <v>210</v>
      </c>
      <c r="E571" s="171" t="s">
        <v>45</v>
      </c>
      <c r="F571" s="170">
        <v>371.52</v>
      </c>
      <c r="G571" s="172"/>
      <c r="H571" s="194"/>
      <c r="I571" s="172"/>
      <c r="J571" s="172"/>
      <c r="K571" s="258"/>
    </row>
    <row r="572" spans="1:11" ht="25.5">
      <c r="A572" s="257" t="s">
        <v>1309</v>
      </c>
      <c r="B572" s="170" t="s">
        <v>212</v>
      </c>
      <c r="C572" s="186" t="s">
        <v>43</v>
      </c>
      <c r="D572" s="186" t="s">
        <v>213</v>
      </c>
      <c r="E572" s="171" t="s">
        <v>45</v>
      </c>
      <c r="F572" s="170">
        <v>371.52</v>
      </c>
      <c r="G572" s="172"/>
      <c r="H572" s="194"/>
      <c r="I572" s="172"/>
      <c r="J572" s="172"/>
      <c r="K572" s="258"/>
    </row>
    <row r="573" spans="1:11" ht="51">
      <c r="A573" s="257" t="s">
        <v>1310</v>
      </c>
      <c r="B573" s="170" t="s">
        <v>218</v>
      </c>
      <c r="C573" s="186" t="s">
        <v>43</v>
      </c>
      <c r="D573" s="186" t="s">
        <v>219</v>
      </c>
      <c r="E573" s="171" t="s">
        <v>45</v>
      </c>
      <c r="F573" s="170">
        <v>371.52</v>
      </c>
      <c r="G573" s="172"/>
      <c r="H573" s="194"/>
      <c r="I573" s="172"/>
      <c r="J573" s="172"/>
      <c r="K573" s="258"/>
    </row>
    <row r="574" spans="1:11" ht="38.25">
      <c r="A574" s="257" t="s">
        <v>1311</v>
      </c>
      <c r="B574" s="170" t="s">
        <v>1312</v>
      </c>
      <c r="C574" s="186" t="s">
        <v>43</v>
      </c>
      <c r="D574" s="186" t="s">
        <v>1313</v>
      </c>
      <c r="E574" s="171" t="s">
        <v>45</v>
      </c>
      <c r="F574" s="170">
        <v>3.66</v>
      </c>
      <c r="G574" s="172"/>
      <c r="H574" s="194"/>
      <c r="I574" s="172"/>
      <c r="J574" s="172"/>
      <c r="K574" s="258"/>
    </row>
    <row r="575" spans="1:11" ht="38.25">
      <c r="A575" s="257" t="s">
        <v>1314</v>
      </c>
      <c r="B575" s="170" t="s">
        <v>1315</v>
      </c>
      <c r="C575" s="186" t="s">
        <v>43</v>
      </c>
      <c r="D575" s="186" t="s">
        <v>1316</v>
      </c>
      <c r="E575" s="171" t="s">
        <v>45</v>
      </c>
      <c r="F575" s="170">
        <v>11.63</v>
      </c>
      <c r="G575" s="172"/>
      <c r="H575" s="194"/>
      <c r="I575" s="172"/>
      <c r="J575" s="172"/>
      <c r="K575" s="258"/>
    </row>
    <row r="576" spans="1:11" ht="38.25">
      <c r="A576" s="257" t="s">
        <v>1317</v>
      </c>
      <c r="B576" s="170" t="s">
        <v>227</v>
      </c>
      <c r="C576" s="186" t="s">
        <v>43</v>
      </c>
      <c r="D576" s="186" t="s">
        <v>228</v>
      </c>
      <c r="E576" s="171" t="s">
        <v>45</v>
      </c>
      <c r="F576" s="170">
        <v>356.23</v>
      </c>
      <c r="G576" s="172"/>
      <c r="H576" s="194"/>
      <c r="I576" s="172"/>
      <c r="J576" s="172"/>
      <c r="K576" s="258"/>
    </row>
    <row r="577" spans="1:11" ht="25.5">
      <c r="A577" s="257" t="s">
        <v>1318</v>
      </c>
      <c r="B577" s="170" t="s">
        <v>233</v>
      </c>
      <c r="C577" s="186" t="s">
        <v>43</v>
      </c>
      <c r="D577" s="186" t="s">
        <v>234</v>
      </c>
      <c r="E577" s="171" t="s">
        <v>144</v>
      </c>
      <c r="F577" s="170">
        <v>4.66</v>
      </c>
      <c r="G577" s="172"/>
      <c r="H577" s="194"/>
      <c r="I577" s="172"/>
      <c r="J577" s="172"/>
      <c r="K577" s="258"/>
    </row>
    <row r="578" spans="1:11" ht="25.5">
      <c r="A578" s="257" t="s">
        <v>1319</v>
      </c>
      <c r="B578" s="170" t="s">
        <v>236</v>
      </c>
      <c r="C578" s="186" t="s">
        <v>43</v>
      </c>
      <c r="D578" s="186" t="s">
        <v>237</v>
      </c>
      <c r="E578" s="171" t="s">
        <v>144</v>
      </c>
      <c r="F578" s="170">
        <v>13.9</v>
      </c>
      <c r="G578" s="172"/>
      <c r="H578" s="194"/>
      <c r="I578" s="172"/>
      <c r="J578" s="172"/>
      <c r="K578" s="258"/>
    </row>
    <row r="579" spans="1:11">
      <c r="A579" s="259" t="s">
        <v>1320</v>
      </c>
      <c r="B579" s="187"/>
      <c r="C579" s="187"/>
      <c r="D579" s="187" t="s">
        <v>257</v>
      </c>
      <c r="E579" s="187"/>
      <c r="F579" s="169"/>
      <c r="G579" s="187"/>
      <c r="H579" s="193"/>
      <c r="I579" s="187"/>
      <c r="J579" s="168"/>
      <c r="K579" s="260"/>
    </row>
    <row r="580" spans="1:11" ht="38.25">
      <c r="A580" s="257" t="s">
        <v>1321</v>
      </c>
      <c r="B580" s="170" t="s">
        <v>259</v>
      </c>
      <c r="C580" s="186" t="s">
        <v>43</v>
      </c>
      <c r="D580" s="186" t="s">
        <v>260</v>
      </c>
      <c r="E580" s="171" t="s">
        <v>45</v>
      </c>
      <c r="F580" s="170">
        <v>877.65</v>
      </c>
      <c r="G580" s="172"/>
      <c r="H580" s="194"/>
      <c r="I580" s="172"/>
      <c r="J580" s="172"/>
      <c r="K580" s="258"/>
    </row>
    <row r="581" spans="1:11" ht="51">
      <c r="A581" s="257" t="s">
        <v>1322</v>
      </c>
      <c r="B581" s="170" t="s">
        <v>262</v>
      </c>
      <c r="C581" s="186" t="s">
        <v>43</v>
      </c>
      <c r="D581" s="186" t="s">
        <v>263</v>
      </c>
      <c r="E581" s="171" t="s">
        <v>45</v>
      </c>
      <c r="F581" s="170">
        <v>702.99</v>
      </c>
      <c r="G581" s="172"/>
      <c r="H581" s="194"/>
      <c r="I581" s="172"/>
      <c r="J581" s="172"/>
      <c r="K581" s="258"/>
    </row>
    <row r="582" spans="1:11" ht="51">
      <c r="A582" s="257" t="s">
        <v>1323</v>
      </c>
      <c r="B582" s="170" t="s">
        <v>265</v>
      </c>
      <c r="C582" s="186" t="s">
        <v>43</v>
      </c>
      <c r="D582" s="186" t="s">
        <v>266</v>
      </c>
      <c r="E582" s="171" t="s">
        <v>45</v>
      </c>
      <c r="F582" s="170">
        <v>877.65</v>
      </c>
      <c r="G582" s="172"/>
      <c r="H582" s="194"/>
      <c r="I582" s="172"/>
      <c r="J582" s="172"/>
      <c r="K582" s="258"/>
    </row>
    <row r="583" spans="1:11" ht="51">
      <c r="A583" s="257" t="s">
        <v>1324</v>
      </c>
      <c r="B583" s="170" t="s">
        <v>268</v>
      </c>
      <c r="C583" s="186" t="s">
        <v>43</v>
      </c>
      <c r="D583" s="186" t="s">
        <v>269</v>
      </c>
      <c r="E583" s="171" t="s">
        <v>45</v>
      </c>
      <c r="F583" s="170">
        <v>702.99</v>
      </c>
      <c r="G583" s="172"/>
      <c r="H583" s="194"/>
      <c r="I583" s="172"/>
      <c r="J583" s="172"/>
      <c r="K583" s="258"/>
    </row>
    <row r="584" spans="1:11" ht="51">
      <c r="A584" s="257" t="s">
        <v>1325</v>
      </c>
      <c r="B584" s="170" t="s">
        <v>271</v>
      </c>
      <c r="C584" s="186" t="s">
        <v>43</v>
      </c>
      <c r="D584" s="186" t="s">
        <v>272</v>
      </c>
      <c r="E584" s="171" t="s">
        <v>45</v>
      </c>
      <c r="F584" s="170">
        <v>109.5</v>
      </c>
      <c r="G584" s="172"/>
      <c r="H584" s="194"/>
      <c r="I584" s="172"/>
      <c r="J584" s="172"/>
      <c r="K584" s="258"/>
    </row>
    <row r="585" spans="1:11" ht="25.5">
      <c r="A585" s="257" t="s">
        <v>1326</v>
      </c>
      <c r="B585" s="170" t="s">
        <v>274</v>
      </c>
      <c r="C585" s="186" t="s">
        <v>34</v>
      </c>
      <c r="D585" s="186" t="s">
        <v>275</v>
      </c>
      <c r="E585" s="171" t="s">
        <v>276</v>
      </c>
      <c r="F585" s="170">
        <v>1019.77</v>
      </c>
      <c r="G585" s="172"/>
      <c r="H585" s="194"/>
      <c r="I585" s="172"/>
      <c r="J585" s="172"/>
      <c r="K585" s="258"/>
    </row>
    <row r="586" spans="1:11">
      <c r="A586" s="259" t="s">
        <v>1327</v>
      </c>
      <c r="B586" s="187"/>
      <c r="C586" s="187"/>
      <c r="D586" s="187" t="s">
        <v>294</v>
      </c>
      <c r="E586" s="187"/>
      <c r="F586" s="169"/>
      <c r="G586" s="187"/>
      <c r="H586" s="193"/>
      <c r="I586" s="187"/>
      <c r="J586" s="168"/>
      <c r="K586" s="260"/>
    </row>
    <row r="587" spans="1:11" ht="25.5">
      <c r="A587" s="257" t="s">
        <v>1328</v>
      </c>
      <c r="B587" s="170" t="s">
        <v>296</v>
      </c>
      <c r="C587" s="186" t="s">
        <v>43</v>
      </c>
      <c r="D587" s="186" t="s">
        <v>297</v>
      </c>
      <c r="E587" s="171" t="s">
        <v>45</v>
      </c>
      <c r="F587" s="170">
        <v>371.52</v>
      </c>
      <c r="G587" s="172"/>
      <c r="H587" s="194"/>
      <c r="I587" s="172"/>
      <c r="J587" s="172"/>
      <c r="K587" s="258"/>
    </row>
    <row r="588" spans="1:11">
      <c r="A588" s="259" t="s">
        <v>1329</v>
      </c>
      <c r="B588" s="187"/>
      <c r="C588" s="187"/>
      <c r="D588" s="187" t="s">
        <v>302</v>
      </c>
      <c r="E588" s="187"/>
      <c r="F588" s="169"/>
      <c r="G588" s="187"/>
      <c r="H588" s="193"/>
      <c r="I588" s="187"/>
      <c r="J588" s="168"/>
      <c r="K588" s="260"/>
    </row>
    <row r="589" spans="1:11" ht="38.25">
      <c r="A589" s="257" t="s">
        <v>1330</v>
      </c>
      <c r="B589" s="170" t="s">
        <v>1036</v>
      </c>
      <c r="C589" s="186" t="s">
        <v>43</v>
      </c>
      <c r="D589" s="186" t="s">
        <v>1037</v>
      </c>
      <c r="E589" s="171" t="s">
        <v>45</v>
      </c>
      <c r="F589" s="170">
        <v>5.76</v>
      </c>
      <c r="G589" s="172"/>
      <c r="H589" s="194"/>
      <c r="I589" s="172"/>
      <c r="J589" s="172"/>
      <c r="K589" s="258"/>
    </row>
    <row r="590" spans="1:11" ht="39.6" customHeight="1">
      <c r="A590" s="257" t="s">
        <v>1331</v>
      </c>
      <c r="B590" s="170" t="s">
        <v>319</v>
      </c>
      <c r="C590" s="186" t="s">
        <v>34</v>
      </c>
      <c r="D590" s="186" t="s">
        <v>320</v>
      </c>
      <c r="E590" s="171" t="s">
        <v>45</v>
      </c>
      <c r="F590" s="170">
        <v>92.25</v>
      </c>
      <c r="G590" s="172"/>
      <c r="H590" s="194"/>
      <c r="I590" s="172"/>
      <c r="J590" s="172"/>
      <c r="K590" s="258"/>
    </row>
    <row r="591" spans="1:11" ht="38.25">
      <c r="A591" s="257" t="s">
        <v>1332</v>
      </c>
      <c r="B591" s="170" t="s">
        <v>331</v>
      </c>
      <c r="C591" s="186" t="s">
        <v>43</v>
      </c>
      <c r="D591" s="186" t="s">
        <v>332</v>
      </c>
      <c r="E591" s="171" t="s">
        <v>45</v>
      </c>
      <c r="F591" s="170">
        <v>5.67</v>
      </c>
      <c r="G591" s="172"/>
      <c r="H591" s="194"/>
      <c r="I591" s="172"/>
      <c r="J591" s="172"/>
      <c r="K591" s="258"/>
    </row>
    <row r="592" spans="1:11" ht="38.25">
      <c r="A592" s="257" t="s">
        <v>1333</v>
      </c>
      <c r="B592" s="170" t="s">
        <v>325</v>
      </c>
      <c r="C592" s="186" t="s">
        <v>34</v>
      </c>
      <c r="D592" s="186" t="s">
        <v>326</v>
      </c>
      <c r="E592" s="171" t="s">
        <v>31</v>
      </c>
      <c r="F592" s="170">
        <v>7</v>
      </c>
      <c r="G592" s="172"/>
      <c r="H592" s="194"/>
      <c r="I592" s="172"/>
      <c r="J592" s="172"/>
      <c r="K592" s="258"/>
    </row>
    <row r="593" spans="1:11">
      <c r="A593" s="257" t="s">
        <v>1334</v>
      </c>
      <c r="B593" s="170" t="s">
        <v>1032</v>
      </c>
      <c r="C593" s="186" t="s">
        <v>34</v>
      </c>
      <c r="D593" s="186" t="s">
        <v>1033</v>
      </c>
      <c r="E593" s="171" t="s">
        <v>45</v>
      </c>
      <c r="F593" s="170">
        <v>6.8</v>
      </c>
      <c r="G593" s="172"/>
      <c r="H593" s="194"/>
      <c r="I593" s="172"/>
      <c r="J593" s="172"/>
      <c r="K593" s="258"/>
    </row>
    <row r="594" spans="1:11" ht="38.25">
      <c r="A594" s="257" t="s">
        <v>1335</v>
      </c>
      <c r="B594" s="170" t="s">
        <v>340</v>
      </c>
      <c r="C594" s="186" t="s">
        <v>43</v>
      </c>
      <c r="D594" s="186" t="s">
        <v>341</v>
      </c>
      <c r="E594" s="171" t="s">
        <v>45</v>
      </c>
      <c r="F594" s="170">
        <v>22.41</v>
      </c>
      <c r="G594" s="172"/>
      <c r="H594" s="194"/>
      <c r="I594" s="172"/>
      <c r="J594" s="172"/>
      <c r="K594" s="258"/>
    </row>
    <row r="595" spans="1:11">
      <c r="A595" s="259" t="s">
        <v>1336</v>
      </c>
      <c r="B595" s="187"/>
      <c r="C595" s="187"/>
      <c r="D595" s="187" t="s">
        <v>349</v>
      </c>
      <c r="E595" s="187"/>
      <c r="F595" s="169"/>
      <c r="G595" s="187"/>
      <c r="H595" s="193"/>
      <c r="I595" s="187"/>
      <c r="J595" s="168"/>
      <c r="K595" s="260"/>
    </row>
    <row r="596" spans="1:11" ht="25.5">
      <c r="A596" s="257" t="s">
        <v>1337</v>
      </c>
      <c r="B596" s="170" t="s">
        <v>351</v>
      </c>
      <c r="C596" s="186" t="s">
        <v>43</v>
      </c>
      <c r="D596" s="186" t="s">
        <v>352</v>
      </c>
      <c r="E596" s="171" t="s">
        <v>45</v>
      </c>
      <c r="F596" s="170">
        <v>194.53</v>
      </c>
      <c r="G596" s="172"/>
      <c r="H596" s="194"/>
      <c r="I596" s="172"/>
      <c r="J596" s="172"/>
      <c r="K596" s="258"/>
    </row>
    <row r="597" spans="1:11" ht="25.5">
      <c r="A597" s="257" t="s">
        <v>1338</v>
      </c>
      <c r="B597" s="170" t="s">
        <v>354</v>
      </c>
      <c r="C597" s="186" t="s">
        <v>43</v>
      </c>
      <c r="D597" s="186" t="s">
        <v>355</v>
      </c>
      <c r="E597" s="171" t="s">
        <v>45</v>
      </c>
      <c r="F597" s="170">
        <v>194.53</v>
      </c>
      <c r="G597" s="172"/>
      <c r="H597" s="194"/>
      <c r="I597" s="172"/>
      <c r="J597" s="172"/>
      <c r="K597" s="258"/>
    </row>
    <row r="598" spans="1:11" ht="25.5">
      <c r="A598" s="257" t="s">
        <v>1339</v>
      </c>
      <c r="B598" s="170" t="s">
        <v>357</v>
      </c>
      <c r="C598" s="186" t="s">
        <v>43</v>
      </c>
      <c r="D598" s="186" t="s">
        <v>358</v>
      </c>
      <c r="E598" s="171" t="s">
        <v>45</v>
      </c>
      <c r="F598" s="170">
        <v>194.53</v>
      </c>
      <c r="G598" s="172"/>
      <c r="H598" s="194"/>
      <c r="I598" s="172"/>
      <c r="J598" s="172"/>
      <c r="K598" s="258"/>
    </row>
    <row r="599" spans="1:11" ht="25.5">
      <c r="A599" s="257" t="s">
        <v>1340</v>
      </c>
      <c r="B599" s="170" t="s">
        <v>360</v>
      </c>
      <c r="C599" s="186" t="s">
        <v>43</v>
      </c>
      <c r="D599" s="186" t="s">
        <v>361</v>
      </c>
      <c r="E599" s="171" t="s">
        <v>45</v>
      </c>
      <c r="F599" s="170">
        <v>371.52</v>
      </c>
      <c r="G599" s="172"/>
      <c r="H599" s="194"/>
      <c r="I599" s="172"/>
      <c r="J599" s="172"/>
      <c r="K599" s="258"/>
    </row>
    <row r="600" spans="1:11" ht="25.5">
      <c r="A600" s="257" t="s">
        <v>1341</v>
      </c>
      <c r="B600" s="170" t="s">
        <v>363</v>
      </c>
      <c r="C600" s="186" t="s">
        <v>43</v>
      </c>
      <c r="D600" s="186" t="s">
        <v>364</v>
      </c>
      <c r="E600" s="171" t="s">
        <v>45</v>
      </c>
      <c r="F600" s="170">
        <v>371.52</v>
      </c>
      <c r="G600" s="172"/>
      <c r="H600" s="194"/>
      <c r="I600" s="172"/>
      <c r="J600" s="172"/>
      <c r="K600" s="258"/>
    </row>
    <row r="601" spans="1:11" ht="25.5">
      <c r="A601" s="257" t="s">
        <v>1342</v>
      </c>
      <c r="B601" s="170" t="s">
        <v>366</v>
      </c>
      <c r="C601" s="186" t="s">
        <v>43</v>
      </c>
      <c r="D601" s="186" t="s">
        <v>367</v>
      </c>
      <c r="E601" s="171" t="s">
        <v>45</v>
      </c>
      <c r="F601" s="170">
        <v>371.52</v>
      </c>
      <c r="G601" s="172"/>
      <c r="H601" s="194"/>
      <c r="I601" s="172"/>
      <c r="J601" s="172"/>
      <c r="K601" s="258"/>
    </row>
    <row r="602" spans="1:11" ht="25.5">
      <c r="A602" s="257" t="s">
        <v>1343</v>
      </c>
      <c r="B602" s="170" t="s">
        <v>369</v>
      </c>
      <c r="C602" s="186" t="s">
        <v>43</v>
      </c>
      <c r="D602" s="186" t="s">
        <v>370</v>
      </c>
      <c r="E602" s="171" t="s">
        <v>45</v>
      </c>
      <c r="F602" s="170">
        <v>47.04</v>
      </c>
      <c r="G602" s="172"/>
      <c r="H602" s="194"/>
      <c r="I602" s="172"/>
      <c r="J602" s="172"/>
      <c r="K602" s="258"/>
    </row>
    <row r="603" spans="1:11">
      <c r="A603" s="259" t="s">
        <v>1344</v>
      </c>
      <c r="B603" s="187"/>
      <c r="C603" s="187"/>
      <c r="D603" s="187" t="s">
        <v>375</v>
      </c>
      <c r="E603" s="187"/>
      <c r="F603" s="169"/>
      <c r="G603" s="187"/>
      <c r="H603" s="193"/>
      <c r="I603" s="187"/>
      <c r="J603" s="168"/>
      <c r="K603" s="260"/>
    </row>
    <row r="604" spans="1:11" ht="25.5">
      <c r="A604" s="257" t="s">
        <v>1345</v>
      </c>
      <c r="B604" s="170" t="s">
        <v>377</v>
      </c>
      <c r="C604" s="186" t="s">
        <v>43</v>
      </c>
      <c r="D604" s="186" t="s">
        <v>378</v>
      </c>
      <c r="E604" s="171" t="s">
        <v>36</v>
      </c>
      <c r="F604" s="170">
        <v>4</v>
      </c>
      <c r="G604" s="172"/>
      <c r="H604" s="194"/>
      <c r="I604" s="172"/>
      <c r="J604" s="172"/>
      <c r="K604" s="258"/>
    </row>
    <row r="605" spans="1:11" ht="38.25">
      <c r="A605" s="257" t="s">
        <v>1346</v>
      </c>
      <c r="B605" s="170" t="s">
        <v>380</v>
      </c>
      <c r="C605" s="186" t="s">
        <v>43</v>
      </c>
      <c r="D605" s="186" t="s">
        <v>381</v>
      </c>
      <c r="E605" s="171" t="s">
        <v>36</v>
      </c>
      <c r="F605" s="170">
        <v>1</v>
      </c>
      <c r="G605" s="172"/>
      <c r="H605" s="194"/>
      <c r="I605" s="172"/>
      <c r="J605" s="172"/>
      <c r="K605" s="258"/>
    </row>
    <row r="606" spans="1:11" ht="51">
      <c r="A606" s="257" t="s">
        <v>1347</v>
      </c>
      <c r="B606" s="170" t="s">
        <v>389</v>
      </c>
      <c r="C606" s="186" t="s">
        <v>34</v>
      </c>
      <c r="D606" s="186" t="s">
        <v>390</v>
      </c>
      <c r="E606" s="171" t="s">
        <v>31</v>
      </c>
      <c r="F606" s="170">
        <v>3</v>
      </c>
      <c r="G606" s="172"/>
      <c r="H606" s="194"/>
      <c r="I606" s="172"/>
      <c r="J606" s="172"/>
      <c r="K606" s="258"/>
    </row>
    <row r="607" spans="1:11" ht="25.5">
      <c r="A607" s="257" t="s">
        <v>1348</v>
      </c>
      <c r="B607" s="170" t="s">
        <v>383</v>
      </c>
      <c r="C607" s="186" t="s">
        <v>43</v>
      </c>
      <c r="D607" s="186" t="s">
        <v>384</v>
      </c>
      <c r="E607" s="171" t="s">
        <v>36</v>
      </c>
      <c r="F607" s="170">
        <v>5</v>
      </c>
      <c r="G607" s="172"/>
      <c r="H607" s="194"/>
      <c r="I607" s="172"/>
      <c r="J607" s="172"/>
      <c r="K607" s="258"/>
    </row>
    <row r="608" spans="1:11" ht="25.5">
      <c r="A608" s="257" t="s">
        <v>1349</v>
      </c>
      <c r="B608" s="170" t="s">
        <v>404</v>
      </c>
      <c r="C608" s="186" t="s">
        <v>43</v>
      </c>
      <c r="D608" s="186" t="s">
        <v>405</v>
      </c>
      <c r="E608" s="171" t="s">
        <v>36</v>
      </c>
      <c r="F608" s="170">
        <v>3</v>
      </c>
      <c r="G608" s="172"/>
      <c r="H608" s="194"/>
      <c r="I608" s="172"/>
      <c r="J608" s="172"/>
      <c r="K608" s="258"/>
    </row>
    <row r="609" spans="1:11">
      <c r="A609" s="257" t="s">
        <v>1350</v>
      </c>
      <c r="B609" s="170" t="s">
        <v>416</v>
      </c>
      <c r="C609" s="186" t="s">
        <v>34</v>
      </c>
      <c r="D609" s="186" t="s">
        <v>417</v>
      </c>
      <c r="E609" s="171" t="s">
        <v>36</v>
      </c>
      <c r="F609" s="170">
        <v>2</v>
      </c>
      <c r="G609" s="172"/>
      <c r="H609" s="194"/>
      <c r="I609" s="172"/>
      <c r="J609" s="172"/>
      <c r="K609" s="258"/>
    </row>
    <row r="610" spans="1:11" ht="25.5">
      <c r="A610" s="257" t="s">
        <v>1351</v>
      </c>
      <c r="B610" s="170" t="s">
        <v>419</v>
      </c>
      <c r="C610" s="186" t="s">
        <v>43</v>
      </c>
      <c r="D610" s="186" t="s">
        <v>420</v>
      </c>
      <c r="E610" s="171" t="s">
        <v>36</v>
      </c>
      <c r="F610" s="170">
        <v>3</v>
      </c>
      <c r="G610" s="172"/>
      <c r="H610" s="194"/>
      <c r="I610" s="172"/>
      <c r="J610" s="172"/>
      <c r="K610" s="258"/>
    </row>
    <row r="611" spans="1:11">
      <c r="A611" s="257" t="s">
        <v>1352</v>
      </c>
      <c r="B611" s="170" t="s">
        <v>431</v>
      </c>
      <c r="C611" s="186" t="s">
        <v>34</v>
      </c>
      <c r="D611" s="186" t="s">
        <v>432</v>
      </c>
      <c r="E611" s="171" t="s">
        <v>45</v>
      </c>
      <c r="F611" s="170">
        <v>1.5</v>
      </c>
      <c r="G611" s="172"/>
      <c r="H611" s="194"/>
      <c r="I611" s="172"/>
      <c r="J611" s="172"/>
      <c r="K611" s="258"/>
    </row>
    <row r="612" spans="1:11" ht="25.5">
      <c r="A612" s="257" t="s">
        <v>1353</v>
      </c>
      <c r="B612" s="170" t="s">
        <v>401</v>
      </c>
      <c r="C612" s="186" t="s">
        <v>43</v>
      </c>
      <c r="D612" s="186" t="s">
        <v>402</v>
      </c>
      <c r="E612" s="171" t="s">
        <v>36</v>
      </c>
      <c r="F612" s="170">
        <v>1</v>
      </c>
      <c r="G612" s="172"/>
      <c r="H612" s="194"/>
      <c r="I612" s="172"/>
      <c r="J612" s="172"/>
      <c r="K612" s="258"/>
    </row>
    <row r="613" spans="1:11" ht="25.5">
      <c r="A613" s="257" t="s">
        <v>1354</v>
      </c>
      <c r="B613" s="170" t="s">
        <v>434</v>
      </c>
      <c r="C613" s="186" t="s">
        <v>34</v>
      </c>
      <c r="D613" s="186" t="s">
        <v>435</v>
      </c>
      <c r="E613" s="171" t="s">
        <v>36</v>
      </c>
      <c r="F613" s="170">
        <v>3</v>
      </c>
      <c r="G613" s="172"/>
      <c r="H613" s="194"/>
      <c r="I613" s="172"/>
      <c r="J613" s="172"/>
      <c r="K613" s="258"/>
    </row>
    <row r="614" spans="1:11" ht="25.5">
      <c r="A614" s="257" t="s">
        <v>1355</v>
      </c>
      <c r="B614" s="170" t="s">
        <v>437</v>
      </c>
      <c r="C614" s="186" t="s">
        <v>34</v>
      </c>
      <c r="D614" s="186" t="s">
        <v>438</v>
      </c>
      <c r="E614" s="171" t="s">
        <v>36</v>
      </c>
      <c r="F614" s="170">
        <v>3</v>
      </c>
      <c r="G614" s="172"/>
      <c r="H614" s="194"/>
      <c r="I614" s="172"/>
      <c r="J614" s="172"/>
      <c r="K614" s="258"/>
    </row>
    <row r="615" spans="1:11" ht="25.5">
      <c r="A615" s="257" t="s">
        <v>1356</v>
      </c>
      <c r="B615" s="170" t="s">
        <v>443</v>
      </c>
      <c r="C615" s="186" t="s">
        <v>34</v>
      </c>
      <c r="D615" s="186" t="s">
        <v>444</v>
      </c>
      <c r="E615" s="171" t="s">
        <v>36</v>
      </c>
      <c r="F615" s="170">
        <v>5</v>
      </c>
      <c r="G615" s="172"/>
      <c r="H615" s="194"/>
      <c r="I615" s="172"/>
      <c r="J615" s="172"/>
      <c r="K615" s="258"/>
    </row>
    <row r="616" spans="1:11" ht="25.5">
      <c r="A616" s="257" t="s">
        <v>1357</v>
      </c>
      <c r="B616" s="170" t="s">
        <v>155</v>
      </c>
      <c r="C616" s="186" t="s">
        <v>43</v>
      </c>
      <c r="D616" s="186" t="s">
        <v>156</v>
      </c>
      <c r="E616" s="171" t="s">
        <v>144</v>
      </c>
      <c r="F616" s="170">
        <v>131.30000000000001</v>
      </c>
      <c r="G616" s="172"/>
      <c r="H616" s="194"/>
      <c r="I616" s="172"/>
      <c r="J616" s="172"/>
      <c r="K616" s="258"/>
    </row>
    <row r="617" spans="1:11">
      <c r="A617" s="259" t="s">
        <v>1358</v>
      </c>
      <c r="B617" s="187"/>
      <c r="C617" s="187"/>
      <c r="D617" s="187" t="s">
        <v>700</v>
      </c>
      <c r="E617" s="187"/>
      <c r="F617" s="169"/>
      <c r="G617" s="187"/>
      <c r="H617" s="193"/>
      <c r="I617" s="187"/>
      <c r="J617" s="168"/>
      <c r="K617" s="260"/>
    </row>
    <row r="618" spans="1:11">
      <c r="A618" s="259" t="s">
        <v>1359</v>
      </c>
      <c r="B618" s="187"/>
      <c r="C618" s="187"/>
      <c r="D618" s="187" t="s">
        <v>702</v>
      </c>
      <c r="E618" s="187"/>
      <c r="F618" s="169"/>
      <c r="G618" s="187"/>
      <c r="H618" s="193"/>
      <c r="I618" s="187"/>
      <c r="J618" s="168"/>
      <c r="K618" s="260"/>
    </row>
    <row r="619" spans="1:11" ht="25.5">
      <c r="A619" s="257" t="s">
        <v>1360</v>
      </c>
      <c r="B619" s="170" t="s">
        <v>749</v>
      </c>
      <c r="C619" s="186" t="s">
        <v>43</v>
      </c>
      <c r="D619" s="186" t="s">
        <v>750</v>
      </c>
      <c r="E619" s="171" t="s">
        <v>36</v>
      </c>
      <c r="F619" s="170">
        <v>4</v>
      </c>
      <c r="G619" s="172"/>
      <c r="H619" s="194"/>
      <c r="I619" s="172"/>
      <c r="J619" s="172"/>
      <c r="K619" s="258"/>
    </row>
    <row r="620" spans="1:11" ht="25.5">
      <c r="A620" s="257" t="s">
        <v>1361</v>
      </c>
      <c r="B620" s="170" t="s">
        <v>710</v>
      </c>
      <c r="C620" s="186" t="s">
        <v>43</v>
      </c>
      <c r="D620" s="186" t="s">
        <v>711</v>
      </c>
      <c r="E620" s="171" t="s">
        <v>144</v>
      </c>
      <c r="F620" s="170">
        <v>25</v>
      </c>
      <c r="G620" s="172"/>
      <c r="H620" s="194"/>
      <c r="I620" s="172"/>
      <c r="J620" s="172"/>
      <c r="K620" s="258"/>
    </row>
    <row r="621" spans="1:11" ht="25.5">
      <c r="A621" s="257" t="s">
        <v>1362</v>
      </c>
      <c r="B621" s="170" t="s">
        <v>707</v>
      </c>
      <c r="C621" s="186" t="s">
        <v>43</v>
      </c>
      <c r="D621" s="186" t="s">
        <v>708</v>
      </c>
      <c r="E621" s="171" t="s">
        <v>144</v>
      </c>
      <c r="F621" s="170">
        <v>32</v>
      </c>
      <c r="G621" s="172"/>
      <c r="H621" s="194"/>
      <c r="I621" s="172"/>
      <c r="J621" s="172"/>
      <c r="K621" s="258"/>
    </row>
    <row r="622" spans="1:11" ht="38.25">
      <c r="A622" s="257" t="s">
        <v>1363</v>
      </c>
      <c r="B622" s="170" t="s">
        <v>1364</v>
      </c>
      <c r="C622" s="186" t="s">
        <v>43</v>
      </c>
      <c r="D622" s="186" t="s">
        <v>1365</v>
      </c>
      <c r="E622" s="171" t="s">
        <v>36</v>
      </c>
      <c r="F622" s="170">
        <v>3</v>
      </c>
      <c r="G622" s="172"/>
      <c r="H622" s="194"/>
      <c r="I622" s="172"/>
      <c r="J622" s="172"/>
      <c r="K622" s="258"/>
    </row>
    <row r="623" spans="1:11" ht="25.5">
      <c r="A623" s="257" t="s">
        <v>1366</v>
      </c>
      <c r="B623" s="170" t="s">
        <v>725</v>
      </c>
      <c r="C623" s="186" t="s">
        <v>43</v>
      </c>
      <c r="D623" s="186" t="s">
        <v>726</v>
      </c>
      <c r="E623" s="171" t="s">
        <v>36</v>
      </c>
      <c r="F623" s="170">
        <v>7</v>
      </c>
      <c r="G623" s="172"/>
      <c r="H623" s="194"/>
      <c r="I623" s="172"/>
      <c r="J623" s="172"/>
      <c r="K623" s="258"/>
    </row>
    <row r="624" spans="1:11" ht="25.5">
      <c r="A624" s="257" t="s">
        <v>1367</v>
      </c>
      <c r="B624" s="170" t="s">
        <v>728</v>
      </c>
      <c r="C624" s="186" t="s">
        <v>43</v>
      </c>
      <c r="D624" s="186" t="s">
        <v>729</v>
      </c>
      <c r="E624" s="171" t="s">
        <v>36</v>
      </c>
      <c r="F624" s="170">
        <v>20</v>
      </c>
      <c r="G624" s="172"/>
      <c r="H624" s="194"/>
      <c r="I624" s="172"/>
      <c r="J624" s="172"/>
      <c r="K624" s="258"/>
    </row>
    <row r="625" spans="1:11" ht="38.25">
      <c r="A625" s="257" t="s">
        <v>1368</v>
      </c>
      <c r="B625" s="170" t="s">
        <v>722</v>
      </c>
      <c r="C625" s="186" t="s">
        <v>43</v>
      </c>
      <c r="D625" s="186" t="s">
        <v>723</v>
      </c>
      <c r="E625" s="171" t="s">
        <v>36</v>
      </c>
      <c r="F625" s="170">
        <v>12</v>
      </c>
      <c r="G625" s="172"/>
      <c r="H625" s="194"/>
      <c r="I625" s="172"/>
      <c r="J625" s="172"/>
      <c r="K625" s="258"/>
    </row>
    <row r="626" spans="1:11" ht="38.25">
      <c r="A626" s="257" t="s">
        <v>1369</v>
      </c>
      <c r="B626" s="170" t="s">
        <v>1095</v>
      </c>
      <c r="C626" s="186" t="s">
        <v>43</v>
      </c>
      <c r="D626" s="186" t="s">
        <v>1096</v>
      </c>
      <c r="E626" s="171" t="s">
        <v>36</v>
      </c>
      <c r="F626" s="170">
        <v>1</v>
      </c>
      <c r="G626" s="172"/>
      <c r="H626" s="194"/>
      <c r="I626" s="172"/>
      <c r="J626" s="172"/>
      <c r="K626" s="258"/>
    </row>
    <row r="627" spans="1:11" ht="25.5">
      <c r="A627" s="257" t="s">
        <v>1370</v>
      </c>
      <c r="B627" s="170" t="s">
        <v>1105</v>
      </c>
      <c r="C627" s="186" t="s">
        <v>43</v>
      </c>
      <c r="D627" s="186" t="s">
        <v>1106</v>
      </c>
      <c r="E627" s="171" t="s">
        <v>36</v>
      </c>
      <c r="F627" s="170">
        <v>2</v>
      </c>
      <c r="G627" s="172"/>
      <c r="H627" s="194"/>
      <c r="I627" s="172"/>
      <c r="J627" s="172"/>
      <c r="K627" s="258"/>
    </row>
    <row r="628" spans="1:11" ht="25.5">
      <c r="A628" s="257" t="s">
        <v>1371</v>
      </c>
      <c r="B628" s="170" t="s">
        <v>740</v>
      </c>
      <c r="C628" s="186" t="s">
        <v>43</v>
      </c>
      <c r="D628" s="186" t="s">
        <v>741</v>
      </c>
      <c r="E628" s="171" t="s">
        <v>36</v>
      </c>
      <c r="F628" s="170">
        <v>9</v>
      </c>
      <c r="G628" s="172"/>
      <c r="H628" s="194"/>
      <c r="I628" s="172"/>
      <c r="J628" s="172"/>
      <c r="K628" s="258"/>
    </row>
    <row r="629" spans="1:11">
      <c r="A629" s="259" t="s">
        <v>1372</v>
      </c>
      <c r="B629" s="187"/>
      <c r="C629" s="187"/>
      <c r="D629" s="187" t="s">
        <v>752</v>
      </c>
      <c r="E629" s="187"/>
      <c r="F629" s="169"/>
      <c r="G629" s="187"/>
      <c r="H629" s="193"/>
      <c r="I629" s="187"/>
      <c r="J629" s="168"/>
      <c r="K629" s="260"/>
    </row>
    <row r="630" spans="1:11" ht="38.25">
      <c r="A630" s="257" t="s">
        <v>1373</v>
      </c>
      <c r="B630" s="170" t="s">
        <v>757</v>
      </c>
      <c r="C630" s="186" t="s">
        <v>43</v>
      </c>
      <c r="D630" s="186" t="s">
        <v>758</v>
      </c>
      <c r="E630" s="171" t="s">
        <v>144</v>
      </c>
      <c r="F630" s="170">
        <v>12.74</v>
      </c>
      <c r="G630" s="172"/>
      <c r="H630" s="194"/>
      <c r="I630" s="172"/>
      <c r="J630" s="172"/>
      <c r="K630" s="258"/>
    </row>
    <row r="631" spans="1:11" ht="38.25">
      <c r="A631" s="257" t="s">
        <v>1374</v>
      </c>
      <c r="B631" s="170" t="s">
        <v>763</v>
      </c>
      <c r="C631" s="186" t="s">
        <v>43</v>
      </c>
      <c r="D631" s="186" t="s">
        <v>764</v>
      </c>
      <c r="E631" s="171" t="s">
        <v>144</v>
      </c>
      <c r="F631" s="170">
        <v>29.32</v>
      </c>
      <c r="G631" s="172"/>
      <c r="H631" s="194"/>
      <c r="I631" s="172"/>
      <c r="J631" s="172"/>
      <c r="K631" s="258"/>
    </row>
    <row r="632" spans="1:11" ht="38.25">
      <c r="A632" s="257" t="s">
        <v>1375</v>
      </c>
      <c r="B632" s="170" t="s">
        <v>754</v>
      </c>
      <c r="C632" s="186" t="s">
        <v>43</v>
      </c>
      <c r="D632" s="186" t="s">
        <v>755</v>
      </c>
      <c r="E632" s="171" t="s">
        <v>144</v>
      </c>
      <c r="F632" s="170">
        <v>107.63</v>
      </c>
      <c r="G632" s="172"/>
      <c r="H632" s="194"/>
      <c r="I632" s="172"/>
      <c r="J632" s="172"/>
      <c r="K632" s="258"/>
    </row>
    <row r="633" spans="1:11" ht="38.25">
      <c r="A633" s="257" t="s">
        <v>1376</v>
      </c>
      <c r="B633" s="170" t="s">
        <v>769</v>
      </c>
      <c r="C633" s="186" t="s">
        <v>43</v>
      </c>
      <c r="D633" s="186" t="s">
        <v>770</v>
      </c>
      <c r="E633" s="171" t="s">
        <v>36</v>
      </c>
      <c r="F633" s="170">
        <v>4</v>
      </c>
      <c r="G633" s="172"/>
      <c r="H633" s="194"/>
      <c r="I633" s="172"/>
      <c r="J633" s="172"/>
      <c r="K633" s="258"/>
    </row>
    <row r="634" spans="1:11" ht="38.25">
      <c r="A634" s="257" t="s">
        <v>1377</v>
      </c>
      <c r="B634" s="170" t="s">
        <v>775</v>
      </c>
      <c r="C634" s="186" t="s">
        <v>43</v>
      </c>
      <c r="D634" s="186" t="s">
        <v>776</v>
      </c>
      <c r="E634" s="171" t="s">
        <v>36</v>
      </c>
      <c r="F634" s="170">
        <v>4</v>
      </c>
      <c r="G634" s="172"/>
      <c r="H634" s="194"/>
      <c r="I634" s="172"/>
      <c r="J634" s="172"/>
      <c r="K634" s="258"/>
    </row>
    <row r="635" spans="1:11" ht="38.25">
      <c r="A635" s="257" t="s">
        <v>1378</v>
      </c>
      <c r="B635" s="170" t="s">
        <v>772</v>
      </c>
      <c r="C635" s="186" t="s">
        <v>43</v>
      </c>
      <c r="D635" s="186" t="s">
        <v>773</v>
      </c>
      <c r="E635" s="171" t="s">
        <v>36</v>
      </c>
      <c r="F635" s="170">
        <v>2</v>
      </c>
      <c r="G635" s="172"/>
      <c r="H635" s="194"/>
      <c r="I635" s="172"/>
      <c r="J635" s="172"/>
      <c r="K635" s="258"/>
    </row>
    <row r="636" spans="1:11" ht="38.25">
      <c r="A636" s="257" t="s">
        <v>1379</v>
      </c>
      <c r="B636" s="170" t="s">
        <v>811</v>
      </c>
      <c r="C636" s="186" t="s">
        <v>43</v>
      </c>
      <c r="D636" s="186" t="s">
        <v>812</v>
      </c>
      <c r="E636" s="171" t="s">
        <v>36</v>
      </c>
      <c r="F636" s="170">
        <v>34</v>
      </c>
      <c r="G636" s="172"/>
      <c r="H636" s="194"/>
      <c r="I636" s="172"/>
      <c r="J636" s="172"/>
      <c r="K636" s="258"/>
    </row>
    <row r="637" spans="1:11" ht="38.25">
      <c r="A637" s="257" t="s">
        <v>1380</v>
      </c>
      <c r="B637" s="170" t="s">
        <v>781</v>
      </c>
      <c r="C637" s="186" t="s">
        <v>43</v>
      </c>
      <c r="D637" s="186" t="s">
        <v>782</v>
      </c>
      <c r="E637" s="171" t="s">
        <v>36</v>
      </c>
      <c r="F637" s="170">
        <v>8</v>
      </c>
      <c r="G637" s="172"/>
      <c r="H637" s="194"/>
      <c r="I637" s="172"/>
      <c r="J637" s="172"/>
      <c r="K637" s="258"/>
    </row>
    <row r="638" spans="1:11" ht="51">
      <c r="A638" s="257" t="s">
        <v>1381</v>
      </c>
      <c r="B638" s="170" t="s">
        <v>793</v>
      </c>
      <c r="C638" s="186" t="s">
        <v>43</v>
      </c>
      <c r="D638" s="186" t="s">
        <v>794</v>
      </c>
      <c r="E638" s="171" t="s">
        <v>36</v>
      </c>
      <c r="F638" s="170">
        <v>3</v>
      </c>
      <c r="G638" s="172"/>
      <c r="H638" s="194"/>
      <c r="I638" s="172"/>
      <c r="J638" s="172"/>
      <c r="K638" s="258"/>
    </row>
    <row r="639" spans="1:11" ht="38.25">
      <c r="A639" s="257" t="s">
        <v>1382</v>
      </c>
      <c r="B639" s="170" t="s">
        <v>784</v>
      </c>
      <c r="C639" s="186" t="s">
        <v>43</v>
      </c>
      <c r="D639" s="186" t="s">
        <v>785</v>
      </c>
      <c r="E639" s="171" t="s">
        <v>36</v>
      </c>
      <c r="F639" s="170">
        <v>8</v>
      </c>
      <c r="G639" s="172"/>
      <c r="H639" s="194"/>
      <c r="I639" s="172"/>
      <c r="J639" s="172"/>
      <c r="K639" s="258"/>
    </row>
    <row r="640" spans="1:11" ht="38.25">
      <c r="A640" s="257" t="s">
        <v>1383</v>
      </c>
      <c r="B640" s="170" t="s">
        <v>787</v>
      </c>
      <c r="C640" s="186" t="s">
        <v>43</v>
      </c>
      <c r="D640" s="186" t="s">
        <v>788</v>
      </c>
      <c r="E640" s="171" t="s">
        <v>36</v>
      </c>
      <c r="F640" s="170">
        <v>2</v>
      </c>
      <c r="G640" s="172"/>
      <c r="H640" s="194"/>
      <c r="I640" s="172"/>
      <c r="J640" s="172"/>
      <c r="K640" s="258"/>
    </row>
    <row r="641" spans="1:11" ht="38.25">
      <c r="A641" s="257" t="s">
        <v>1384</v>
      </c>
      <c r="B641" s="170" t="s">
        <v>814</v>
      </c>
      <c r="C641" s="186" t="s">
        <v>43</v>
      </c>
      <c r="D641" s="186" t="s">
        <v>815</v>
      </c>
      <c r="E641" s="171" t="s">
        <v>36</v>
      </c>
      <c r="F641" s="170">
        <v>5</v>
      </c>
      <c r="G641" s="172"/>
      <c r="H641" s="194"/>
      <c r="I641" s="172"/>
      <c r="J641" s="172"/>
      <c r="K641" s="258"/>
    </row>
    <row r="642" spans="1:11" ht="38.25">
      <c r="A642" s="257" t="s">
        <v>1385</v>
      </c>
      <c r="B642" s="170" t="s">
        <v>799</v>
      </c>
      <c r="C642" s="186" t="s">
        <v>43</v>
      </c>
      <c r="D642" s="186" t="s">
        <v>800</v>
      </c>
      <c r="E642" s="171" t="s">
        <v>36</v>
      </c>
      <c r="F642" s="170">
        <v>1</v>
      </c>
      <c r="G642" s="172"/>
      <c r="H642" s="194"/>
      <c r="I642" s="172"/>
      <c r="J642" s="172"/>
      <c r="K642" s="258"/>
    </row>
    <row r="643" spans="1:11" ht="38.25">
      <c r="A643" s="257" t="s">
        <v>1386</v>
      </c>
      <c r="B643" s="170" t="s">
        <v>1132</v>
      </c>
      <c r="C643" s="186" t="s">
        <v>43</v>
      </c>
      <c r="D643" s="186" t="s">
        <v>1133</v>
      </c>
      <c r="E643" s="171" t="s">
        <v>36</v>
      </c>
      <c r="F643" s="170">
        <v>2</v>
      </c>
      <c r="G643" s="172"/>
      <c r="H643" s="194"/>
      <c r="I643" s="172"/>
      <c r="J643" s="172"/>
      <c r="K643" s="258"/>
    </row>
    <row r="644" spans="1:11" ht="38.25">
      <c r="A644" s="257" t="s">
        <v>1387</v>
      </c>
      <c r="B644" s="170" t="s">
        <v>805</v>
      </c>
      <c r="C644" s="186" t="s">
        <v>43</v>
      </c>
      <c r="D644" s="186" t="s">
        <v>806</v>
      </c>
      <c r="E644" s="171" t="s">
        <v>36</v>
      </c>
      <c r="F644" s="170">
        <v>8</v>
      </c>
      <c r="G644" s="172"/>
      <c r="H644" s="194"/>
      <c r="I644" s="172"/>
      <c r="J644" s="172"/>
      <c r="K644" s="258"/>
    </row>
    <row r="645" spans="1:11" ht="38.25">
      <c r="A645" s="257" t="s">
        <v>1388</v>
      </c>
      <c r="B645" s="170" t="s">
        <v>826</v>
      </c>
      <c r="C645" s="186" t="s">
        <v>34</v>
      </c>
      <c r="D645" s="186" t="s">
        <v>827</v>
      </c>
      <c r="E645" s="171" t="s">
        <v>36</v>
      </c>
      <c r="F645" s="170">
        <v>5</v>
      </c>
      <c r="G645" s="172"/>
      <c r="H645" s="194"/>
      <c r="I645" s="172"/>
      <c r="J645" s="172"/>
      <c r="K645" s="258"/>
    </row>
    <row r="646" spans="1:11" ht="25.5">
      <c r="A646" s="257" t="s">
        <v>1389</v>
      </c>
      <c r="B646" s="170" t="s">
        <v>832</v>
      </c>
      <c r="C646" s="186" t="s">
        <v>34</v>
      </c>
      <c r="D646" s="186" t="s">
        <v>833</v>
      </c>
      <c r="E646" s="171" t="s">
        <v>31</v>
      </c>
      <c r="F646" s="170">
        <v>5</v>
      </c>
      <c r="G646" s="172"/>
      <c r="H646" s="194"/>
      <c r="I646" s="172"/>
      <c r="J646" s="172"/>
      <c r="K646" s="258"/>
    </row>
    <row r="647" spans="1:11" ht="25.5">
      <c r="A647" s="257" t="s">
        <v>1390</v>
      </c>
      <c r="B647" s="170" t="s">
        <v>823</v>
      </c>
      <c r="C647" s="186" t="s">
        <v>34</v>
      </c>
      <c r="D647" s="186" t="s">
        <v>824</v>
      </c>
      <c r="E647" s="171" t="s">
        <v>31</v>
      </c>
      <c r="F647" s="170">
        <v>4</v>
      </c>
      <c r="G647" s="172"/>
      <c r="H647" s="194"/>
      <c r="I647" s="172"/>
      <c r="J647" s="172"/>
      <c r="K647" s="258"/>
    </row>
    <row r="648" spans="1:11" ht="38.25">
      <c r="A648" s="257" t="s">
        <v>1391</v>
      </c>
      <c r="B648" s="170" t="s">
        <v>1392</v>
      </c>
      <c r="C648" s="186" t="s">
        <v>34</v>
      </c>
      <c r="D648" s="186" t="s">
        <v>1393</v>
      </c>
      <c r="E648" s="171" t="s">
        <v>36</v>
      </c>
      <c r="F648" s="170">
        <v>1</v>
      </c>
      <c r="G648" s="172"/>
      <c r="H648" s="194"/>
      <c r="I648" s="172"/>
      <c r="J648" s="172"/>
      <c r="K648" s="258"/>
    </row>
    <row r="649" spans="1:11">
      <c r="A649" s="259" t="s">
        <v>1394</v>
      </c>
      <c r="B649" s="187"/>
      <c r="C649" s="187"/>
      <c r="D649" s="187" t="s">
        <v>835</v>
      </c>
      <c r="E649" s="187"/>
      <c r="F649" s="169"/>
      <c r="G649" s="187"/>
      <c r="H649" s="193"/>
      <c r="I649" s="187"/>
      <c r="J649" s="168"/>
      <c r="K649" s="260"/>
    </row>
    <row r="650" spans="1:11" ht="25.5">
      <c r="A650" s="257" t="s">
        <v>1395</v>
      </c>
      <c r="B650" s="170" t="s">
        <v>840</v>
      </c>
      <c r="C650" s="186" t="s">
        <v>43</v>
      </c>
      <c r="D650" s="186" t="s">
        <v>841</v>
      </c>
      <c r="E650" s="171" t="s">
        <v>144</v>
      </c>
      <c r="F650" s="170">
        <v>11.46</v>
      </c>
      <c r="G650" s="172"/>
      <c r="H650" s="194"/>
      <c r="I650" s="172"/>
      <c r="J650" s="172"/>
      <c r="K650" s="258"/>
    </row>
    <row r="651" spans="1:11" ht="25.5">
      <c r="A651" s="257" t="s">
        <v>1396</v>
      </c>
      <c r="B651" s="170" t="s">
        <v>837</v>
      </c>
      <c r="C651" s="186" t="s">
        <v>43</v>
      </c>
      <c r="D651" s="186" t="s">
        <v>838</v>
      </c>
      <c r="E651" s="171" t="s">
        <v>144</v>
      </c>
      <c r="F651" s="170">
        <v>58.95</v>
      </c>
      <c r="G651" s="172"/>
      <c r="H651" s="194"/>
      <c r="I651" s="172"/>
      <c r="J651" s="172"/>
      <c r="K651" s="258"/>
    </row>
    <row r="652" spans="1:11" ht="38.25">
      <c r="A652" s="257" t="s">
        <v>1397</v>
      </c>
      <c r="B652" s="170" t="s">
        <v>846</v>
      </c>
      <c r="C652" s="186" t="s">
        <v>43</v>
      </c>
      <c r="D652" s="186" t="s">
        <v>847</v>
      </c>
      <c r="E652" s="171" t="s">
        <v>36</v>
      </c>
      <c r="F652" s="170">
        <v>4</v>
      </c>
      <c r="G652" s="172"/>
      <c r="H652" s="194"/>
      <c r="I652" s="172"/>
      <c r="J652" s="172"/>
      <c r="K652" s="258"/>
    </row>
    <row r="653" spans="1:11" ht="38.25">
      <c r="A653" s="257" t="s">
        <v>1398</v>
      </c>
      <c r="B653" s="170" t="s">
        <v>1148</v>
      </c>
      <c r="C653" s="186" t="s">
        <v>43</v>
      </c>
      <c r="D653" s="186" t="s">
        <v>1149</v>
      </c>
      <c r="E653" s="171" t="s">
        <v>36</v>
      </c>
      <c r="F653" s="170">
        <v>1</v>
      </c>
      <c r="G653" s="172"/>
      <c r="H653" s="194"/>
      <c r="I653" s="172"/>
      <c r="J653" s="172"/>
      <c r="K653" s="258"/>
    </row>
    <row r="654" spans="1:11" ht="38.25">
      <c r="A654" s="257" t="s">
        <v>1399</v>
      </c>
      <c r="B654" s="170" t="s">
        <v>1400</v>
      </c>
      <c r="C654" s="186" t="s">
        <v>43</v>
      </c>
      <c r="D654" s="186" t="s">
        <v>1401</v>
      </c>
      <c r="E654" s="171" t="s">
        <v>36</v>
      </c>
      <c r="F654" s="170">
        <v>3</v>
      </c>
      <c r="G654" s="172"/>
      <c r="H654" s="194"/>
      <c r="I654" s="172"/>
      <c r="J654" s="172"/>
      <c r="K654" s="258"/>
    </row>
    <row r="655" spans="1:11" ht="38.25">
      <c r="A655" s="257" t="s">
        <v>1402</v>
      </c>
      <c r="B655" s="170" t="s">
        <v>843</v>
      </c>
      <c r="C655" s="186" t="s">
        <v>43</v>
      </c>
      <c r="D655" s="186" t="s">
        <v>844</v>
      </c>
      <c r="E655" s="171" t="s">
        <v>36</v>
      </c>
      <c r="F655" s="170">
        <v>1</v>
      </c>
      <c r="G655" s="172"/>
      <c r="H655" s="194"/>
      <c r="I655" s="172"/>
      <c r="J655" s="172"/>
      <c r="K655" s="258"/>
    </row>
    <row r="656" spans="1:11" ht="25.5">
      <c r="A656" s="257" t="s">
        <v>1403</v>
      </c>
      <c r="B656" s="170" t="s">
        <v>855</v>
      </c>
      <c r="C656" s="186" t="s">
        <v>34</v>
      </c>
      <c r="D656" s="186" t="s">
        <v>856</v>
      </c>
      <c r="E656" s="171" t="s">
        <v>36</v>
      </c>
      <c r="F656" s="170">
        <v>8</v>
      </c>
      <c r="G656" s="172"/>
      <c r="H656" s="194"/>
      <c r="I656" s="172"/>
      <c r="J656" s="172"/>
      <c r="K656" s="258"/>
    </row>
    <row r="657" spans="1:11" ht="25.5">
      <c r="A657" s="257" t="s">
        <v>1404</v>
      </c>
      <c r="B657" s="170" t="s">
        <v>864</v>
      </c>
      <c r="C657" s="186" t="s">
        <v>34</v>
      </c>
      <c r="D657" s="186" t="s">
        <v>865</v>
      </c>
      <c r="E657" s="171" t="s">
        <v>36</v>
      </c>
      <c r="F657" s="170">
        <v>5</v>
      </c>
      <c r="G657" s="172"/>
      <c r="H657" s="194"/>
      <c r="I657" s="172"/>
      <c r="J657" s="172"/>
      <c r="K657" s="258"/>
    </row>
    <row r="658" spans="1:11" ht="38.25">
      <c r="A658" s="257" t="s">
        <v>1405</v>
      </c>
      <c r="B658" s="170" t="s">
        <v>1157</v>
      </c>
      <c r="C658" s="186" t="s">
        <v>43</v>
      </c>
      <c r="D658" s="186" t="s">
        <v>1158</v>
      </c>
      <c r="E658" s="171" t="s">
        <v>36</v>
      </c>
      <c r="F658" s="170">
        <v>8</v>
      </c>
      <c r="G658" s="172"/>
      <c r="H658" s="194"/>
      <c r="I658" s="172"/>
      <c r="J658" s="172"/>
      <c r="K658" s="258"/>
    </row>
    <row r="659" spans="1:11" ht="38.25">
      <c r="A659" s="257" t="s">
        <v>1406</v>
      </c>
      <c r="B659" s="170" t="s">
        <v>1154</v>
      </c>
      <c r="C659" s="186" t="s">
        <v>43</v>
      </c>
      <c r="D659" s="186" t="s">
        <v>1155</v>
      </c>
      <c r="E659" s="171" t="s">
        <v>36</v>
      </c>
      <c r="F659" s="170">
        <v>1</v>
      </c>
      <c r="G659" s="172"/>
      <c r="H659" s="194"/>
      <c r="I659" s="172"/>
      <c r="J659" s="172"/>
      <c r="K659" s="258"/>
    </row>
    <row r="660" spans="1:11" ht="38.25">
      <c r="A660" s="257" t="s">
        <v>1407</v>
      </c>
      <c r="B660" s="170" t="s">
        <v>814</v>
      </c>
      <c r="C660" s="186" t="s">
        <v>43</v>
      </c>
      <c r="D660" s="186" t="s">
        <v>815</v>
      </c>
      <c r="E660" s="171" t="s">
        <v>36</v>
      </c>
      <c r="F660" s="170">
        <v>4</v>
      </c>
      <c r="G660" s="172"/>
      <c r="H660" s="194"/>
      <c r="I660" s="172"/>
      <c r="J660" s="172"/>
      <c r="K660" s="258"/>
    </row>
    <row r="661" spans="1:11" ht="38.25">
      <c r="A661" s="257" t="s">
        <v>1408</v>
      </c>
      <c r="B661" s="170" t="s">
        <v>1409</v>
      </c>
      <c r="C661" s="186" t="s">
        <v>43</v>
      </c>
      <c r="D661" s="186" t="s">
        <v>1410</v>
      </c>
      <c r="E661" s="171" t="s">
        <v>36</v>
      </c>
      <c r="F661" s="170">
        <v>1</v>
      </c>
      <c r="G661" s="172"/>
      <c r="H661" s="194"/>
      <c r="I661" s="172"/>
      <c r="J661" s="172"/>
      <c r="K661" s="258"/>
    </row>
    <row r="662" spans="1:11" ht="38.25">
      <c r="A662" s="257" t="s">
        <v>1411</v>
      </c>
      <c r="B662" s="170" t="s">
        <v>1412</v>
      </c>
      <c r="C662" s="186" t="s">
        <v>43</v>
      </c>
      <c r="D662" s="186" t="s">
        <v>1413</v>
      </c>
      <c r="E662" s="171" t="s">
        <v>36</v>
      </c>
      <c r="F662" s="170">
        <v>1</v>
      </c>
      <c r="G662" s="172"/>
      <c r="H662" s="194"/>
      <c r="I662" s="172"/>
      <c r="J662" s="172"/>
      <c r="K662" s="258"/>
    </row>
    <row r="663" spans="1:11">
      <c r="A663" s="259" t="s">
        <v>1414</v>
      </c>
      <c r="B663" s="187"/>
      <c r="C663" s="187"/>
      <c r="D663" s="187" t="s">
        <v>876</v>
      </c>
      <c r="E663" s="187"/>
      <c r="F663" s="169"/>
      <c r="G663" s="187"/>
      <c r="H663" s="193"/>
      <c r="I663" s="187"/>
      <c r="J663" s="168"/>
      <c r="K663" s="260"/>
    </row>
    <row r="664" spans="1:11" ht="25.5">
      <c r="A664" s="257" t="s">
        <v>1415</v>
      </c>
      <c r="B664" s="170" t="s">
        <v>878</v>
      </c>
      <c r="C664" s="186" t="s">
        <v>43</v>
      </c>
      <c r="D664" s="186" t="s">
        <v>879</v>
      </c>
      <c r="E664" s="171" t="s">
        <v>36</v>
      </c>
      <c r="F664" s="170">
        <v>12</v>
      </c>
      <c r="G664" s="172"/>
      <c r="H664" s="194"/>
      <c r="I664" s="172"/>
      <c r="J664" s="172"/>
      <c r="K664" s="258"/>
    </row>
    <row r="665" spans="1:11" ht="38.25">
      <c r="A665" s="257" t="s">
        <v>1416</v>
      </c>
      <c r="B665" s="170" t="s">
        <v>899</v>
      </c>
      <c r="C665" s="186" t="s">
        <v>43</v>
      </c>
      <c r="D665" s="186" t="s">
        <v>900</v>
      </c>
      <c r="E665" s="171" t="s">
        <v>144</v>
      </c>
      <c r="F665" s="170">
        <v>182</v>
      </c>
      <c r="G665" s="172"/>
      <c r="H665" s="194"/>
      <c r="I665" s="172"/>
      <c r="J665" s="172"/>
      <c r="K665" s="258"/>
    </row>
    <row r="666" spans="1:11" ht="63.75">
      <c r="A666" s="257" t="s">
        <v>1417</v>
      </c>
      <c r="B666" s="170" t="s">
        <v>905</v>
      </c>
      <c r="C666" s="186" t="s">
        <v>34</v>
      </c>
      <c r="D666" s="186" t="s">
        <v>906</v>
      </c>
      <c r="E666" s="171" t="s">
        <v>144</v>
      </c>
      <c r="F666" s="170">
        <v>182</v>
      </c>
      <c r="G666" s="172"/>
      <c r="H666" s="194"/>
      <c r="I666" s="172"/>
      <c r="J666" s="172"/>
      <c r="K666" s="258"/>
    </row>
    <row r="667" spans="1:11" ht="25.5">
      <c r="A667" s="257" t="s">
        <v>1418</v>
      </c>
      <c r="B667" s="170" t="s">
        <v>911</v>
      </c>
      <c r="C667" s="186" t="s">
        <v>34</v>
      </c>
      <c r="D667" s="186" t="s">
        <v>912</v>
      </c>
      <c r="E667" s="171" t="s">
        <v>80</v>
      </c>
      <c r="F667" s="170">
        <v>271</v>
      </c>
      <c r="G667" s="172"/>
      <c r="H667" s="194"/>
      <c r="I667" s="172"/>
      <c r="J667" s="172"/>
      <c r="K667" s="258"/>
    </row>
    <row r="668" spans="1:11" ht="25.5">
      <c r="A668" s="257" t="s">
        <v>1419</v>
      </c>
      <c r="B668" s="170" t="s">
        <v>914</v>
      </c>
      <c r="C668" s="186" t="s">
        <v>34</v>
      </c>
      <c r="D668" s="186" t="s">
        <v>915</v>
      </c>
      <c r="E668" s="171" t="s">
        <v>144</v>
      </c>
      <c r="F668" s="170">
        <v>54</v>
      </c>
      <c r="G668" s="172"/>
      <c r="H668" s="194"/>
      <c r="I668" s="172"/>
      <c r="J668" s="172"/>
      <c r="K668" s="258"/>
    </row>
    <row r="669" spans="1:11" ht="25.5">
      <c r="A669" s="257" t="s">
        <v>1420</v>
      </c>
      <c r="B669" s="170" t="s">
        <v>920</v>
      </c>
      <c r="C669" s="186" t="s">
        <v>34</v>
      </c>
      <c r="D669" s="186" t="s">
        <v>921</v>
      </c>
      <c r="E669" s="171" t="s">
        <v>36</v>
      </c>
      <c r="F669" s="170">
        <v>18</v>
      </c>
      <c r="G669" s="172"/>
      <c r="H669" s="194"/>
      <c r="I669" s="172"/>
      <c r="J669" s="172"/>
      <c r="K669" s="258"/>
    </row>
    <row r="670" spans="1:11" ht="38.25">
      <c r="A670" s="257" t="s">
        <v>1421</v>
      </c>
      <c r="B670" s="170" t="s">
        <v>932</v>
      </c>
      <c r="C670" s="186" t="s">
        <v>34</v>
      </c>
      <c r="D670" s="186" t="s">
        <v>933</v>
      </c>
      <c r="E670" s="171" t="s">
        <v>36</v>
      </c>
      <c r="F670" s="170">
        <v>6</v>
      </c>
      <c r="G670" s="172"/>
      <c r="H670" s="194"/>
      <c r="I670" s="172"/>
      <c r="J670" s="172"/>
      <c r="K670" s="258"/>
    </row>
    <row r="671" spans="1:11" ht="38.25">
      <c r="A671" s="257" t="s">
        <v>1422</v>
      </c>
      <c r="B671" s="170" t="s">
        <v>929</v>
      </c>
      <c r="C671" s="186" t="s">
        <v>43</v>
      </c>
      <c r="D671" s="186" t="s">
        <v>930</v>
      </c>
      <c r="E671" s="171" t="s">
        <v>144</v>
      </c>
      <c r="F671" s="170">
        <v>905</v>
      </c>
      <c r="G671" s="172"/>
      <c r="H671" s="194"/>
      <c r="I671" s="172"/>
      <c r="J671" s="172"/>
      <c r="K671" s="258"/>
    </row>
    <row r="672" spans="1:11">
      <c r="A672" s="257" t="s">
        <v>1423</v>
      </c>
      <c r="B672" s="170" t="s">
        <v>1201</v>
      </c>
      <c r="C672" s="186" t="s">
        <v>34</v>
      </c>
      <c r="D672" s="186" t="s">
        <v>1202</v>
      </c>
      <c r="E672" s="171" t="s">
        <v>80</v>
      </c>
      <c r="F672" s="170">
        <v>20</v>
      </c>
      <c r="G672" s="172"/>
      <c r="H672" s="194"/>
      <c r="I672" s="172"/>
      <c r="J672" s="172"/>
      <c r="K672" s="258"/>
    </row>
    <row r="673" spans="1:11">
      <c r="A673" s="257" t="s">
        <v>1424</v>
      </c>
      <c r="B673" s="170" t="s">
        <v>944</v>
      </c>
      <c r="C673" s="186" t="s">
        <v>34</v>
      </c>
      <c r="D673" s="186" t="s">
        <v>945</v>
      </c>
      <c r="E673" s="171" t="s">
        <v>80</v>
      </c>
      <c r="F673" s="170">
        <v>20</v>
      </c>
      <c r="G673" s="172"/>
      <c r="H673" s="194"/>
      <c r="I673" s="172"/>
      <c r="J673" s="172"/>
      <c r="K673" s="258"/>
    </row>
    <row r="674" spans="1:11" ht="51">
      <c r="A674" s="257" t="s">
        <v>1425</v>
      </c>
      <c r="B674" s="170" t="s">
        <v>947</v>
      </c>
      <c r="C674" s="186" t="s">
        <v>34</v>
      </c>
      <c r="D674" s="186" t="s">
        <v>948</v>
      </c>
      <c r="E674" s="171" t="s">
        <v>36</v>
      </c>
      <c r="F674" s="170">
        <v>6</v>
      </c>
      <c r="G674" s="172"/>
      <c r="H674" s="194"/>
      <c r="I674" s="172"/>
      <c r="J674" s="172"/>
      <c r="K674" s="258"/>
    </row>
    <row r="675" spans="1:11" ht="25.5">
      <c r="A675" s="257" t="s">
        <v>5797</v>
      </c>
      <c r="B675" s="170" t="s">
        <v>917</v>
      </c>
      <c r="C675" s="186" t="s">
        <v>34</v>
      </c>
      <c r="D675" s="186" t="s">
        <v>918</v>
      </c>
      <c r="E675" s="171" t="s">
        <v>36</v>
      </c>
      <c r="F675" s="170">
        <v>48</v>
      </c>
      <c r="G675" s="172"/>
      <c r="H675" s="194"/>
      <c r="I675" s="172"/>
      <c r="J675" s="172"/>
      <c r="K675" s="258"/>
    </row>
    <row r="676" spans="1:11">
      <c r="A676" s="259" t="s">
        <v>1426</v>
      </c>
      <c r="B676" s="187"/>
      <c r="C676" s="187"/>
      <c r="D676" s="187" t="s">
        <v>18</v>
      </c>
      <c r="E676" s="187"/>
      <c r="F676" s="169"/>
      <c r="G676" s="187"/>
      <c r="H676" s="193"/>
      <c r="I676" s="187"/>
      <c r="J676" s="168"/>
      <c r="K676" s="260"/>
    </row>
    <row r="677" spans="1:11">
      <c r="A677" s="259" t="s">
        <v>1427</v>
      </c>
      <c r="B677" s="187"/>
      <c r="C677" s="187"/>
      <c r="D677" s="187" t="s">
        <v>76</v>
      </c>
      <c r="E677" s="187"/>
      <c r="F677" s="169"/>
      <c r="G677" s="187"/>
      <c r="H677" s="193"/>
      <c r="I677" s="187"/>
      <c r="J677" s="168"/>
      <c r="K677" s="260"/>
    </row>
    <row r="678" spans="1:11" ht="25.5">
      <c r="A678" s="257" t="s">
        <v>1428</v>
      </c>
      <c r="B678" s="170" t="s">
        <v>1429</v>
      </c>
      <c r="C678" s="186" t="s">
        <v>43</v>
      </c>
      <c r="D678" s="186" t="s">
        <v>1430</v>
      </c>
      <c r="E678" s="171" t="s">
        <v>80</v>
      </c>
      <c r="F678" s="170">
        <v>130.18</v>
      </c>
      <c r="G678" s="172"/>
      <c r="H678" s="194"/>
      <c r="I678" s="172"/>
      <c r="J678" s="172"/>
      <c r="K678" s="258"/>
    </row>
    <row r="679" spans="1:11" ht="25.5">
      <c r="A679" s="257" t="s">
        <v>1431</v>
      </c>
      <c r="B679" s="170" t="s">
        <v>1432</v>
      </c>
      <c r="C679" s="186" t="s">
        <v>43</v>
      </c>
      <c r="D679" s="186" t="s">
        <v>1433</v>
      </c>
      <c r="E679" s="171" t="s">
        <v>80</v>
      </c>
      <c r="F679" s="170">
        <v>15.82</v>
      </c>
      <c r="G679" s="172"/>
      <c r="H679" s="194"/>
      <c r="I679" s="172"/>
      <c r="J679" s="172"/>
      <c r="K679" s="258"/>
    </row>
    <row r="680" spans="1:11" ht="25.5">
      <c r="A680" s="257" t="s">
        <v>1434</v>
      </c>
      <c r="B680" s="170" t="s">
        <v>1435</v>
      </c>
      <c r="C680" s="186" t="s">
        <v>43</v>
      </c>
      <c r="D680" s="186" t="s">
        <v>1436</v>
      </c>
      <c r="E680" s="171" t="s">
        <v>80</v>
      </c>
      <c r="F680" s="170">
        <v>2721.73</v>
      </c>
      <c r="G680" s="172"/>
      <c r="H680" s="194"/>
      <c r="I680" s="172"/>
      <c r="J680" s="172"/>
      <c r="K680" s="258"/>
    </row>
    <row r="681" spans="1:11" ht="25.5">
      <c r="A681" s="257" t="s">
        <v>1437</v>
      </c>
      <c r="B681" s="170" t="s">
        <v>1438</v>
      </c>
      <c r="C681" s="186" t="s">
        <v>43</v>
      </c>
      <c r="D681" s="186" t="s">
        <v>1439</v>
      </c>
      <c r="E681" s="171" t="s">
        <v>80</v>
      </c>
      <c r="F681" s="170">
        <v>3481.27</v>
      </c>
      <c r="G681" s="172"/>
      <c r="H681" s="194"/>
      <c r="I681" s="172"/>
      <c r="J681" s="172"/>
      <c r="K681" s="258"/>
    </row>
    <row r="682" spans="1:11" ht="25.5">
      <c r="A682" s="257" t="s">
        <v>1440</v>
      </c>
      <c r="B682" s="170" t="s">
        <v>1441</v>
      </c>
      <c r="C682" s="186" t="s">
        <v>34</v>
      </c>
      <c r="D682" s="186" t="s">
        <v>1442</v>
      </c>
      <c r="E682" s="171" t="s">
        <v>80</v>
      </c>
      <c r="F682" s="170">
        <v>204.27</v>
      </c>
      <c r="G682" s="172"/>
      <c r="H682" s="194"/>
      <c r="I682" s="172"/>
      <c r="J682" s="172"/>
      <c r="K682" s="258"/>
    </row>
    <row r="683" spans="1:11" ht="38.25">
      <c r="A683" s="257" t="s">
        <v>1443</v>
      </c>
      <c r="B683" s="170" t="s">
        <v>94</v>
      </c>
      <c r="C683" s="186" t="s">
        <v>43</v>
      </c>
      <c r="D683" s="186" t="s">
        <v>95</v>
      </c>
      <c r="E683" s="171" t="s">
        <v>80</v>
      </c>
      <c r="F683" s="170">
        <v>850.64</v>
      </c>
      <c r="G683" s="172"/>
      <c r="H683" s="194"/>
      <c r="I683" s="172"/>
      <c r="J683" s="172"/>
      <c r="K683" s="258"/>
    </row>
    <row r="684" spans="1:11" ht="51">
      <c r="A684" s="257" t="s">
        <v>1444</v>
      </c>
      <c r="B684" s="170" t="s">
        <v>100</v>
      </c>
      <c r="C684" s="186" t="s">
        <v>43</v>
      </c>
      <c r="D684" s="186" t="s">
        <v>101</v>
      </c>
      <c r="E684" s="171" t="s">
        <v>45</v>
      </c>
      <c r="F684" s="170">
        <v>148</v>
      </c>
      <c r="G684" s="172"/>
      <c r="H684" s="194"/>
      <c r="I684" s="172"/>
      <c r="J684" s="172"/>
      <c r="K684" s="258"/>
    </row>
    <row r="685" spans="1:11" ht="25.5">
      <c r="A685" s="257" t="s">
        <v>1445</v>
      </c>
      <c r="B685" s="170" t="s">
        <v>1446</v>
      </c>
      <c r="C685" s="186" t="s">
        <v>43</v>
      </c>
      <c r="D685" s="186" t="s">
        <v>1447</v>
      </c>
      <c r="E685" s="171" t="s">
        <v>80</v>
      </c>
      <c r="F685" s="170">
        <v>408.82</v>
      </c>
      <c r="G685" s="172"/>
      <c r="H685" s="194"/>
      <c r="I685" s="172"/>
      <c r="J685" s="172"/>
      <c r="K685" s="258"/>
    </row>
    <row r="686" spans="1:11" ht="38.25">
      <c r="A686" s="257" t="s">
        <v>1448</v>
      </c>
      <c r="B686" s="170" t="s">
        <v>1449</v>
      </c>
      <c r="C686" s="186" t="s">
        <v>43</v>
      </c>
      <c r="D686" s="186" t="s">
        <v>1450</v>
      </c>
      <c r="E686" s="171" t="s">
        <v>80</v>
      </c>
      <c r="F686" s="170">
        <v>510.74</v>
      </c>
      <c r="G686" s="172"/>
      <c r="H686" s="194"/>
      <c r="I686" s="172"/>
      <c r="J686" s="172"/>
      <c r="K686" s="258"/>
    </row>
    <row r="687" spans="1:11" ht="38.25">
      <c r="A687" s="257" t="s">
        <v>1451</v>
      </c>
      <c r="B687" s="170" t="s">
        <v>121</v>
      </c>
      <c r="C687" s="186" t="s">
        <v>43</v>
      </c>
      <c r="D687" s="186" t="s">
        <v>122</v>
      </c>
      <c r="E687" s="171" t="s">
        <v>45</v>
      </c>
      <c r="F687" s="170">
        <v>459</v>
      </c>
      <c r="G687" s="172"/>
      <c r="H687" s="194"/>
      <c r="I687" s="172"/>
      <c r="J687" s="172"/>
      <c r="K687" s="258"/>
    </row>
    <row r="688" spans="1:11" ht="39.6" customHeight="1">
      <c r="A688" s="257" t="s">
        <v>1452</v>
      </c>
      <c r="B688" s="170" t="s">
        <v>124</v>
      </c>
      <c r="C688" s="186" t="s">
        <v>34</v>
      </c>
      <c r="D688" s="186" t="s">
        <v>125</v>
      </c>
      <c r="E688" s="171" t="s">
        <v>126</v>
      </c>
      <c r="F688" s="170">
        <v>91.8</v>
      </c>
      <c r="G688" s="172"/>
      <c r="H688" s="194"/>
      <c r="I688" s="172"/>
      <c r="J688" s="172"/>
      <c r="K688" s="258"/>
    </row>
    <row r="689" spans="1:11">
      <c r="A689" s="259" t="s">
        <v>1453</v>
      </c>
      <c r="B689" s="187"/>
      <c r="C689" s="187"/>
      <c r="D689" s="187" t="s">
        <v>134</v>
      </c>
      <c r="E689" s="187"/>
      <c r="F689" s="169"/>
      <c r="G689" s="187"/>
      <c r="H689" s="193"/>
      <c r="I689" s="187"/>
      <c r="J689" s="168"/>
      <c r="K689" s="260"/>
    </row>
    <row r="690" spans="1:11" ht="38.25">
      <c r="A690" s="257" t="s">
        <v>1454</v>
      </c>
      <c r="B690" s="170" t="s">
        <v>976</v>
      </c>
      <c r="C690" s="186" t="s">
        <v>43</v>
      </c>
      <c r="D690" s="186" t="s">
        <v>977</v>
      </c>
      <c r="E690" s="171" t="s">
        <v>45</v>
      </c>
      <c r="F690" s="170">
        <v>45.27</v>
      </c>
      <c r="G690" s="172"/>
      <c r="H690" s="194"/>
      <c r="I690" s="172"/>
      <c r="J690" s="172"/>
      <c r="K690" s="258"/>
    </row>
    <row r="691" spans="1:11" ht="26.45" customHeight="1">
      <c r="A691" s="257" t="s">
        <v>1455</v>
      </c>
      <c r="B691" s="170" t="s">
        <v>1456</v>
      </c>
      <c r="C691" s="186" t="s">
        <v>43</v>
      </c>
      <c r="D691" s="186" t="s">
        <v>1457</v>
      </c>
      <c r="E691" s="171" t="s">
        <v>144</v>
      </c>
      <c r="F691" s="170">
        <v>1.89</v>
      </c>
      <c r="G691" s="172"/>
      <c r="H691" s="194"/>
      <c r="I691" s="172"/>
      <c r="J691" s="172"/>
      <c r="K691" s="258"/>
    </row>
    <row r="692" spans="1:11">
      <c r="A692" s="259" t="s">
        <v>1458</v>
      </c>
      <c r="B692" s="187"/>
      <c r="C692" s="187"/>
      <c r="D692" s="187" t="s">
        <v>190</v>
      </c>
      <c r="E692" s="187"/>
      <c r="F692" s="169"/>
      <c r="G692" s="187"/>
      <c r="H692" s="193"/>
      <c r="I692" s="187"/>
      <c r="J692" s="168"/>
      <c r="K692" s="260"/>
    </row>
    <row r="693" spans="1:11" ht="25.5">
      <c r="A693" s="257" t="s">
        <v>1459</v>
      </c>
      <c r="B693" s="170" t="s">
        <v>192</v>
      </c>
      <c r="C693" s="186" t="s">
        <v>43</v>
      </c>
      <c r="D693" s="186" t="s">
        <v>193</v>
      </c>
      <c r="E693" s="171" t="s">
        <v>45</v>
      </c>
      <c r="F693" s="170">
        <v>258.67</v>
      </c>
      <c r="G693" s="172"/>
      <c r="H693" s="194"/>
      <c r="I693" s="172"/>
      <c r="J693" s="172"/>
      <c r="K693" s="258"/>
    </row>
    <row r="694" spans="1:11" ht="38.25">
      <c r="A694" s="257" t="s">
        <v>1460</v>
      </c>
      <c r="B694" s="170" t="s">
        <v>195</v>
      </c>
      <c r="C694" s="186" t="s">
        <v>43</v>
      </c>
      <c r="D694" s="186" t="s">
        <v>196</v>
      </c>
      <c r="E694" s="171" t="s">
        <v>45</v>
      </c>
      <c r="F694" s="170">
        <v>268.42</v>
      </c>
      <c r="G694" s="172"/>
      <c r="H694" s="194"/>
      <c r="I694" s="172"/>
      <c r="J694" s="172"/>
      <c r="K694" s="258"/>
    </row>
    <row r="695" spans="1:11" ht="25.5">
      <c r="A695" s="257" t="s">
        <v>1461</v>
      </c>
      <c r="B695" s="170" t="s">
        <v>1303</v>
      </c>
      <c r="C695" s="186" t="s">
        <v>43</v>
      </c>
      <c r="D695" s="186" t="s">
        <v>1304</v>
      </c>
      <c r="E695" s="171" t="s">
        <v>45</v>
      </c>
      <c r="F695" s="170">
        <v>19.63</v>
      </c>
      <c r="G695" s="172"/>
      <c r="H695" s="194"/>
      <c r="I695" s="172"/>
      <c r="J695" s="172"/>
      <c r="K695" s="258"/>
    </row>
    <row r="696" spans="1:11" ht="25.5">
      <c r="A696" s="257" t="s">
        <v>1462</v>
      </c>
      <c r="B696" s="170" t="s">
        <v>201</v>
      </c>
      <c r="C696" s="186" t="s">
        <v>43</v>
      </c>
      <c r="D696" s="186" t="s">
        <v>202</v>
      </c>
      <c r="E696" s="171" t="s">
        <v>45</v>
      </c>
      <c r="F696" s="170">
        <v>47.21</v>
      </c>
      <c r="G696" s="172"/>
      <c r="H696" s="194"/>
      <c r="I696" s="172"/>
      <c r="J696" s="172"/>
      <c r="K696" s="258"/>
    </row>
    <row r="697" spans="1:11">
      <c r="A697" s="259" t="s">
        <v>1463</v>
      </c>
      <c r="B697" s="187"/>
      <c r="C697" s="187"/>
      <c r="D697" s="187" t="s">
        <v>204</v>
      </c>
      <c r="E697" s="187"/>
      <c r="F697" s="169"/>
      <c r="G697" s="187"/>
      <c r="H697" s="193"/>
      <c r="I697" s="187"/>
      <c r="J697" s="168"/>
      <c r="K697" s="260"/>
    </row>
    <row r="698" spans="1:11" ht="38.25">
      <c r="A698" s="257" t="s">
        <v>1464</v>
      </c>
      <c r="B698" s="170" t="s">
        <v>206</v>
      </c>
      <c r="C698" s="186" t="s">
        <v>43</v>
      </c>
      <c r="D698" s="186" t="s">
        <v>207</v>
      </c>
      <c r="E698" s="171" t="s">
        <v>45</v>
      </c>
      <c r="F698" s="170">
        <v>19.63</v>
      </c>
      <c r="G698" s="172"/>
      <c r="H698" s="194"/>
      <c r="I698" s="172"/>
      <c r="J698" s="172"/>
      <c r="K698" s="258"/>
    </row>
    <row r="699" spans="1:11" ht="25.5">
      <c r="A699" s="257" t="s">
        <v>1465</v>
      </c>
      <c r="B699" s="170" t="s">
        <v>209</v>
      </c>
      <c r="C699" s="186" t="s">
        <v>43</v>
      </c>
      <c r="D699" s="186" t="s">
        <v>210</v>
      </c>
      <c r="E699" s="171" t="s">
        <v>45</v>
      </c>
      <c r="F699" s="170">
        <v>19.63</v>
      </c>
      <c r="G699" s="172"/>
      <c r="H699" s="194"/>
      <c r="I699" s="172"/>
      <c r="J699" s="172"/>
      <c r="K699" s="258"/>
    </row>
    <row r="700" spans="1:11" ht="25.5">
      <c r="A700" s="257" t="s">
        <v>1466</v>
      </c>
      <c r="B700" s="170" t="s">
        <v>212</v>
      </c>
      <c r="C700" s="186" t="s">
        <v>43</v>
      </c>
      <c r="D700" s="186" t="s">
        <v>213</v>
      </c>
      <c r="E700" s="171" t="s">
        <v>45</v>
      </c>
      <c r="F700" s="170">
        <v>19.63</v>
      </c>
      <c r="G700" s="172"/>
      <c r="H700" s="194"/>
      <c r="I700" s="172"/>
      <c r="J700" s="172"/>
      <c r="K700" s="258"/>
    </row>
    <row r="701" spans="1:11" ht="51">
      <c r="A701" s="257" t="s">
        <v>1467</v>
      </c>
      <c r="B701" s="170" t="s">
        <v>218</v>
      </c>
      <c r="C701" s="186" t="s">
        <v>43</v>
      </c>
      <c r="D701" s="186" t="s">
        <v>219</v>
      </c>
      <c r="E701" s="171" t="s">
        <v>45</v>
      </c>
      <c r="F701" s="170">
        <v>19.63</v>
      </c>
      <c r="G701" s="172"/>
      <c r="H701" s="194"/>
      <c r="I701" s="172"/>
      <c r="J701" s="172"/>
      <c r="K701" s="258"/>
    </row>
    <row r="702" spans="1:11" ht="38.25">
      <c r="A702" s="257" t="s">
        <v>1468</v>
      </c>
      <c r="B702" s="170" t="s">
        <v>239</v>
      </c>
      <c r="C702" s="186" t="s">
        <v>43</v>
      </c>
      <c r="D702" s="186" t="s">
        <v>240</v>
      </c>
      <c r="E702" s="171" t="s">
        <v>45</v>
      </c>
      <c r="F702" s="170">
        <v>19.63</v>
      </c>
      <c r="G702" s="172"/>
      <c r="H702" s="194"/>
      <c r="I702" s="172"/>
      <c r="J702" s="172"/>
      <c r="K702" s="258"/>
    </row>
    <row r="703" spans="1:11">
      <c r="A703" s="259" t="s">
        <v>1469</v>
      </c>
      <c r="B703" s="187"/>
      <c r="C703" s="187"/>
      <c r="D703" s="187" t="s">
        <v>257</v>
      </c>
      <c r="E703" s="187"/>
      <c r="F703" s="169"/>
      <c r="G703" s="187"/>
      <c r="H703" s="193"/>
      <c r="I703" s="187"/>
      <c r="J703" s="168"/>
      <c r="K703" s="260"/>
    </row>
    <row r="704" spans="1:11" ht="38.25">
      <c r="A704" s="257" t="s">
        <v>1470</v>
      </c>
      <c r="B704" s="170" t="s">
        <v>259</v>
      </c>
      <c r="C704" s="186" t="s">
        <v>43</v>
      </c>
      <c r="D704" s="186" t="s">
        <v>260</v>
      </c>
      <c r="E704" s="171" t="s">
        <v>45</v>
      </c>
      <c r="F704" s="170">
        <v>42.6</v>
      </c>
      <c r="G704" s="172"/>
      <c r="H704" s="194"/>
      <c r="I704" s="172"/>
      <c r="J704" s="172"/>
      <c r="K704" s="258"/>
    </row>
    <row r="705" spans="1:11" ht="51">
      <c r="A705" s="257" t="s">
        <v>1471</v>
      </c>
      <c r="B705" s="170" t="s">
        <v>262</v>
      </c>
      <c r="C705" s="186" t="s">
        <v>43</v>
      </c>
      <c r="D705" s="186" t="s">
        <v>263</v>
      </c>
      <c r="E705" s="171" t="s">
        <v>45</v>
      </c>
      <c r="F705" s="170">
        <v>234.54</v>
      </c>
      <c r="G705" s="172"/>
      <c r="H705" s="194"/>
      <c r="I705" s="172"/>
      <c r="J705" s="172"/>
      <c r="K705" s="258"/>
    </row>
    <row r="706" spans="1:11" ht="51">
      <c r="A706" s="257" t="s">
        <v>1472</v>
      </c>
      <c r="B706" s="170" t="s">
        <v>265</v>
      </c>
      <c r="C706" s="186" t="s">
        <v>43</v>
      </c>
      <c r="D706" s="186" t="s">
        <v>266</v>
      </c>
      <c r="E706" s="171" t="s">
        <v>45</v>
      </c>
      <c r="F706" s="170">
        <v>42.6</v>
      </c>
      <c r="G706" s="172"/>
      <c r="H706" s="194"/>
      <c r="I706" s="172"/>
      <c r="J706" s="172"/>
      <c r="K706" s="258"/>
    </row>
    <row r="707" spans="1:11" ht="51">
      <c r="A707" s="257" t="s">
        <v>1473</v>
      </c>
      <c r="B707" s="170" t="s">
        <v>268</v>
      </c>
      <c r="C707" s="186" t="s">
        <v>43</v>
      </c>
      <c r="D707" s="186" t="s">
        <v>269</v>
      </c>
      <c r="E707" s="171" t="s">
        <v>45</v>
      </c>
      <c r="F707" s="170">
        <v>234.54</v>
      </c>
      <c r="G707" s="172"/>
      <c r="H707" s="194"/>
      <c r="I707" s="172"/>
      <c r="J707" s="172"/>
      <c r="K707" s="258"/>
    </row>
    <row r="708" spans="1:11">
      <c r="A708" s="259" t="s">
        <v>1474</v>
      </c>
      <c r="B708" s="187"/>
      <c r="C708" s="187"/>
      <c r="D708" s="187" t="s">
        <v>302</v>
      </c>
      <c r="E708" s="187"/>
      <c r="F708" s="169"/>
      <c r="G708" s="187"/>
      <c r="H708" s="193"/>
      <c r="I708" s="187"/>
      <c r="J708" s="168"/>
      <c r="K708" s="260"/>
    </row>
    <row r="709" spans="1:11" ht="38.25">
      <c r="A709" s="257" t="s">
        <v>1475</v>
      </c>
      <c r="B709" s="170" t="s">
        <v>1036</v>
      </c>
      <c r="C709" s="186" t="s">
        <v>43</v>
      </c>
      <c r="D709" s="186" t="s">
        <v>1037</v>
      </c>
      <c r="E709" s="171" t="s">
        <v>45</v>
      </c>
      <c r="F709" s="170">
        <v>1.89</v>
      </c>
      <c r="G709" s="172"/>
      <c r="H709" s="194"/>
      <c r="I709" s="172"/>
      <c r="J709" s="172"/>
      <c r="K709" s="258"/>
    </row>
    <row r="710" spans="1:11">
      <c r="A710" s="259" t="s">
        <v>1476</v>
      </c>
      <c r="B710" s="187"/>
      <c r="C710" s="187"/>
      <c r="D710" s="187" t="s">
        <v>700</v>
      </c>
      <c r="E710" s="187"/>
      <c r="F710" s="169"/>
      <c r="G710" s="187"/>
      <c r="H710" s="193"/>
      <c r="I710" s="187"/>
      <c r="J710" s="168"/>
      <c r="K710" s="260"/>
    </row>
    <row r="711" spans="1:11">
      <c r="A711" s="259" t="s">
        <v>1477</v>
      </c>
      <c r="B711" s="187"/>
      <c r="C711" s="187"/>
      <c r="D711" s="187" t="s">
        <v>702</v>
      </c>
      <c r="E711" s="187"/>
      <c r="F711" s="169"/>
      <c r="G711" s="187"/>
      <c r="H711" s="193"/>
      <c r="I711" s="187"/>
      <c r="J711" s="168"/>
      <c r="K711" s="260"/>
    </row>
    <row r="712" spans="1:11" ht="25.5">
      <c r="A712" s="257" t="s">
        <v>1478</v>
      </c>
      <c r="B712" s="170" t="s">
        <v>707</v>
      </c>
      <c r="C712" s="186" t="s">
        <v>43</v>
      </c>
      <c r="D712" s="186" t="s">
        <v>708</v>
      </c>
      <c r="E712" s="171" t="s">
        <v>144</v>
      </c>
      <c r="F712" s="170">
        <v>13.79</v>
      </c>
      <c r="G712" s="172"/>
      <c r="H712" s="194"/>
      <c r="I712" s="172"/>
      <c r="J712" s="172"/>
      <c r="K712" s="258"/>
    </row>
    <row r="713" spans="1:11" ht="25.5">
      <c r="A713" s="257" t="s">
        <v>1479</v>
      </c>
      <c r="B713" s="170" t="s">
        <v>710</v>
      </c>
      <c r="C713" s="186" t="s">
        <v>43</v>
      </c>
      <c r="D713" s="186" t="s">
        <v>711</v>
      </c>
      <c r="E713" s="171" t="s">
        <v>144</v>
      </c>
      <c r="F713" s="170">
        <v>6.21</v>
      </c>
      <c r="G713" s="172"/>
      <c r="H713" s="194"/>
      <c r="I713" s="172"/>
      <c r="J713" s="172"/>
      <c r="K713" s="258"/>
    </row>
    <row r="714" spans="1:11" ht="25.5">
      <c r="A714" s="257" t="s">
        <v>1480</v>
      </c>
      <c r="B714" s="170" t="s">
        <v>1481</v>
      </c>
      <c r="C714" s="186" t="s">
        <v>43</v>
      </c>
      <c r="D714" s="186" t="s">
        <v>1482</v>
      </c>
      <c r="E714" s="171" t="s">
        <v>144</v>
      </c>
      <c r="F714" s="170">
        <v>10.16</v>
      </c>
      <c r="G714" s="172"/>
      <c r="H714" s="194"/>
      <c r="I714" s="172"/>
      <c r="J714" s="172"/>
      <c r="K714" s="258"/>
    </row>
    <row r="715" spans="1:11" ht="25.5">
      <c r="A715" s="257" t="s">
        <v>1483</v>
      </c>
      <c r="B715" s="170" t="s">
        <v>1484</v>
      </c>
      <c r="C715" s="186" t="s">
        <v>43</v>
      </c>
      <c r="D715" s="186" t="s">
        <v>1485</v>
      </c>
      <c r="E715" s="171" t="s">
        <v>144</v>
      </c>
      <c r="F715" s="170">
        <v>10.92</v>
      </c>
      <c r="G715" s="172"/>
      <c r="H715" s="194"/>
      <c r="I715" s="172"/>
      <c r="J715" s="172"/>
      <c r="K715" s="258"/>
    </row>
    <row r="716" spans="1:11" ht="25.5">
      <c r="A716" s="257" t="s">
        <v>1486</v>
      </c>
      <c r="B716" s="170" t="s">
        <v>1487</v>
      </c>
      <c r="C716" s="186" t="s">
        <v>43</v>
      </c>
      <c r="D716" s="186" t="s">
        <v>1488</v>
      </c>
      <c r="E716" s="171" t="s">
        <v>144</v>
      </c>
      <c r="F716" s="170">
        <v>28.02</v>
      </c>
      <c r="G716" s="172"/>
      <c r="H716" s="194"/>
      <c r="I716" s="172"/>
      <c r="J716" s="172"/>
      <c r="K716" s="258"/>
    </row>
    <row r="717" spans="1:11">
      <c r="A717" s="257" t="s">
        <v>1489</v>
      </c>
      <c r="B717" s="170" t="s">
        <v>1490</v>
      </c>
      <c r="C717" s="186" t="s">
        <v>34</v>
      </c>
      <c r="D717" s="186" t="s">
        <v>1491</v>
      </c>
      <c r="E717" s="171" t="s">
        <v>31</v>
      </c>
      <c r="F717" s="170">
        <v>1</v>
      </c>
      <c r="G717" s="172"/>
      <c r="H717" s="194"/>
      <c r="I717" s="172"/>
      <c r="J717" s="172"/>
      <c r="K717" s="258"/>
    </row>
    <row r="718" spans="1:11" ht="38.25">
      <c r="A718" s="257" t="s">
        <v>1492</v>
      </c>
      <c r="B718" s="170" t="s">
        <v>1493</v>
      </c>
      <c r="C718" s="186" t="s">
        <v>43</v>
      </c>
      <c r="D718" s="186" t="s">
        <v>1494</v>
      </c>
      <c r="E718" s="171" t="s">
        <v>36</v>
      </c>
      <c r="F718" s="170">
        <v>1</v>
      </c>
      <c r="G718" s="172"/>
      <c r="H718" s="194"/>
      <c r="I718" s="172"/>
      <c r="J718" s="172"/>
      <c r="K718" s="258"/>
    </row>
    <row r="719" spans="1:11" ht="25.5">
      <c r="A719" s="257" t="s">
        <v>1495</v>
      </c>
      <c r="B719" s="170" t="s">
        <v>1496</v>
      </c>
      <c r="C719" s="186" t="s">
        <v>34</v>
      </c>
      <c r="D719" s="186" t="s">
        <v>1497</v>
      </c>
      <c r="E719" s="171" t="s">
        <v>36</v>
      </c>
      <c r="F719" s="170">
        <v>1</v>
      </c>
      <c r="G719" s="172"/>
      <c r="H719" s="194"/>
      <c r="I719" s="172"/>
      <c r="J719" s="172"/>
      <c r="K719" s="258"/>
    </row>
    <row r="720" spans="1:11" ht="25.5">
      <c r="A720" s="257" t="s">
        <v>1498</v>
      </c>
      <c r="B720" s="170" t="s">
        <v>725</v>
      </c>
      <c r="C720" s="186" t="s">
        <v>43</v>
      </c>
      <c r="D720" s="186" t="s">
        <v>726</v>
      </c>
      <c r="E720" s="171" t="s">
        <v>36</v>
      </c>
      <c r="F720" s="170">
        <v>3</v>
      </c>
      <c r="G720" s="172"/>
      <c r="H720" s="194"/>
      <c r="I720" s="172"/>
      <c r="J720" s="172"/>
      <c r="K720" s="258"/>
    </row>
    <row r="721" spans="1:11" ht="38.25">
      <c r="A721" s="257" t="s">
        <v>1499</v>
      </c>
      <c r="B721" s="170" t="s">
        <v>1500</v>
      </c>
      <c r="C721" s="186" t="s">
        <v>43</v>
      </c>
      <c r="D721" s="186" t="s">
        <v>1501</v>
      </c>
      <c r="E721" s="171" t="s">
        <v>36</v>
      </c>
      <c r="F721" s="170">
        <v>7</v>
      </c>
      <c r="G721" s="172"/>
      <c r="H721" s="194"/>
      <c r="I721" s="172"/>
      <c r="J721" s="172"/>
      <c r="K721" s="258"/>
    </row>
    <row r="722" spans="1:11" ht="38.25">
      <c r="A722" s="257" t="s">
        <v>1502</v>
      </c>
      <c r="B722" s="170" t="s">
        <v>1503</v>
      </c>
      <c r="C722" s="186" t="s">
        <v>43</v>
      </c>
      <c r="D722" s="186" t="s">
        <v>1504</v>
      </c>
      <c r="E722" s="171" t="s">
        <v>36</v>
      </c>
      <c r="F722" s="170">
        <v>2</v>
      </c>
      <c r="G722" s="172"/>
      <c r="H722" s="194"/>
      <c r="I722" s="172"/>
      <c r="J722" s="172"/>
      <c r="K722" s="258"/>
    </row>
    <row r="723" spans="1:11" ht="38.25">
      <c r="A723" s="257" t="s">
        <v>1505</v>
      </c>
      <c r="B723" s="170" t="s">
        <v>1506</v>
      </c>
      <c r="C723" s="186" t="s">
        <v>43</v>
      </c>
      <c r="D723" s="186" t="s">
        <v>1507</v>
      </c>
      <c r="E723" s="171" t="s">
        <v>36</v>
      </c>
      <c r="F723" s="170">
        <v>5</v>
      </c>
      <c r="G723" s="172"/>
      <c r="H723" s="194"/>
      <c r="I723" s="172"/>
      <c r="J723" s="172"/>
      <c r="K723" s="258"/>
    </row>
    <row r="724" spans="1:11" ht="25.5">
      <c r="A724" s="257" t="s">
        <v>1508</v>
      </c>
      <c r="B724" s="170" t="s">
        <v>1509</v>
      </c>
      <c r="C724" s="186" t="s">
        <v>43</v>
      </c>
      <c r="D724" s="186" t="s">
        <v>1510</v>
      </c>
      <c r="E724" s="171" t="s">
        <v>36</v>
      </c>
      <c r="F724" s="170">
        <v>2</v>
      </c>
      <c r="G724" s="172"/>
      <c r="H724" s="194"/>
      <c r="I724" s="172"/>
      <c r="J724" s="172"/>
      <c r="K724" s="258"/>
    </row>
    <row r="725" spans="1:11" ht="25.5">
      <c r="A725" s="257" t="s">
        <v>1511</v>
      </c>
      <c r="B725" s="170" t="s">
        <v>1512</v>
      </c>
      <c r="C725" s="186" t="s">
        <v>43</v>
      </c>
      <c r="D725" s="186" t="s">
        <v>1513</v>
      </c>
      <c r="E725" s="171" t="s">
        <v>36</v>
      </c>
      <c r="F725" s="170">
        <v>1</v>
      </c>
      <c r="G725" s="172"/>
      <c r="H725" s="194"/>
      <c r="I725" s="172"/>
      <c r="J725" s="172"/>
      <c r="K725" s="258"/>
    </row>
    <row r="726" spans="1:11" ht="25.5">
      <c r="A726" s="257" t="s">
        <v>1514</v>
      </c>
      <c r="B726" s="170" t="s">
        <v>1515</v>
      </c>
      <c r="C726" s="186" t="s">
        <v>43</v>
      </c>
      <c r="D726" s="186" t="s">
        <v>1516</v>
      </c>
      <c r="E726" s="171" t="s">
        <v>36</v>
      </c>
      <c r="F726" s="170">
        <v>1</v>
      </c>
      <c r="G726" s="172"/>
      <c r="H726" s="194"/>
      <c r="I726" s="172"/>
      <c r="J726" s="172"/>
      <c r="K726" s="258"/>
    </row>
    <row r="727" spans="1:11" ht="25.5">
      <c r="A727" s="257" t="s">
        <v>1517</v>
      </c>
      <c r="B727" s="170" t="s">
        <v>1518</v>
      </c>
      <c r="C727" s="186" t="s">
        <v>43</v>
      </c>
      <c r="D727" s="186" t="s">
        <v>1519</v>
      </c>
      <c r="E727" s="171" t="s">
        <v>36</v>
      </c>
      <c r="F727" s="170">
        <v>2</v>
      </c>
      <c r="G727" s="172"/>
      <c r="H727" s="194"/>
      <c r="I727" s="172"/>
      <c r="J727" s="172"/>
      <c r="K727" s="258"/>
    </row>
    <row r="728" spans="1:11" ht="25.5">
      <c r="A728" s="257" t="s">
        <v>1520</v>
      </c>
      <c r="B728" s="170" t="s">
        <v>1521</v>
      </c>
      <c r="C728" s="186" t="s">
        <v>43</v>
      </c>
      <c r="D728" s="186" t="s">
        <v>1522</v>
      </c>
      <c r="E728" s="171" t="s">
        <v>36</v>
      </c>
      <c r="F728" s="170">
        <v>1</v>
      </c>
      <c r="G728" s="172"/>
      <c r="H728" s="194"/>
      <c r="I728" s="172"/>
      <c r="J728" s="172"/>
      <c r="K728" s="258"/>
    </row>
    <row r="729" spans="1:11" ht="25.5">
      <c r="A729" s="257" t="s">
        <v>1523</v>
      </c>
      <c r="B729" s="170" t="s">
        <v>1524</v>
      </c>
      <c r="C729" s="186" t="s">
        <v>43</v>
      </c>
      <c r="D729" s="186" t="s">
        <v>1525</v>
      </c>
      <c r="E729" s="171" t="s">
        <v>36</v>
      </c>
      <c r="F729" s="170">
        <v>4</v>
      </c>
      <c r="G729" s="172"/>
      <c r="H729" s="194"/>
      <c r="I729" s="172"/>
      <c r="J729" s="172"/>
      <c r="K729" s="258"/>
    </row>
    <row r="730" spans="1:11">
      <c r="A730" s="257" t="s">
        <v>1526</v>
      </c>
      <c r="B730" s="170" t="s">
        <v>1527</v>
      </c>
      <c r="C730" s="186" t="s">
        <v>34</v>
      </c>
      <c r="D730" s="186" t="s">
        <v>1528</v>
      </c>
      <c r="E730" s="171" t="s">
        <v>36</v>
      </c>
      <c r="F730" s="170">
        <v>2</v>
      </c>
      <c r="G730" s="172"/>
      <c r="H730" s="194"/>
      <c r="I730" s="172"/>
      <c r="J730" s="172"/>
      <c r="K730" s="258"/>
    </row>
    <row r="731" spans="1:11">
      <c r="A731" s="257" t="s">
        <v>1529</v>
      </c>
      <c r="B731" s="170" t="s">
        <v>1530</v>
      </c>
      <c r="C731" s="186" t="s">
        <v>34</v>
      </c>
      <c r="D731" s="186" t="s">
        <v>1531</v>
      </c>
      <c r="E731" s="171" t="s">
        <v>36</v>
      </c>
      <c r="F731" s="170">
        <v>2</v>
      </c>
      <c r="G731" s="172"/>
      <c r="H731" s="194"/>
      <c r="I731" s="172"/>
      <c r="J731" s="172"/>
      <c r="K731" s="258"/>
    </row>
    <row r="732" spans="1:11">
      <c r="A732" s="259" t="s">
        <v>1532</v>
      </c>
      <c r="B732" s="187"/>
      <c r="C732" s="187"/>
      <c r="D732" s="187" t="s">
        <v>19</v>
      </c>
      <c r="E732" s="187"/>
      <c r="F732" s="169"/>
      <c r="G732" s="187"/>
      <c r="H732" s="193"/>
      <c r="I732" s="187"/>
      <c r="J732" s="168"/>
      <c r="K732" s="260"/>
    </row>
    <row r="733" spans="1:11">
      <c r="A733" s="259" t="s">
        <v>1533</v>
      </c>
      <c r="B733" s="187"/>
      <c r="C733" s="187"/>
      <c r="D733" s="187" t="s">
        <v>76</v>
      </c>
      <c r="E733" s="187"/>
      <c r="F733" s="169"/>
      <c r="G733" s="187"/>
      <c r="H733" s="193"/>
      <c r="I733" s="187"/>
      <c r="J733" s="168"/>
      <c r="K733" s="260"/>
    </row>
    <row r="734" spans="1:11" ht="38.25">
      <c r="A734" s="257" t="s">
        <v>1534</v>
      </c>
      <c r="B734" s="170" t="s">
        <v>78</v>
      </c>
      <c r="C734" s="186" t="s">
        <v>43</v>
      </c>
      <c r="D734" s="186" t="s">
        <v>79</v>
      </c>
      <c r="E734" s="171" t="s">
        <v>80</v>
      </c>
      <c r="F734" s="170">
        <v>73.27</v>
      </c>
      <c r="G734" s="172"/>
      <c r="H734" s="194"/>
      <c r="I734" s="172"/>
      <c r="J734" s="172"/>
      <c r="K734" s="258"/>
    </row>
    <row r="735" spans="1:11" ht="38.25">
      <c r="A735" s="257" t="s">
        <v>1535</v>
      </c>
      <c r="B735" s="170" t="s">
        <v>85</v>
      </c>
      <c r="C735" s="186" t="s">
        <v>43</v>
      </c>
      <c r="D735" s="186" t="s">
        <v>86</v>
      </c>
      <c r="E735" s="171" t="s">
        <v>80</v>
      </c>
      <c r="F735" s="170">
        <v>76.36</v>
      </c>
      <c r="G735" s="172"/>
      <c r="H735" s="194"/>
      <c r="I735" s="172"/>
      <c r="J735" s="172"/>
      <c r="K735" s="258"/>
    </row>
    <row r="736" spans="1:11" ht="38.25">
      <c r="A736" s="257" t="s">
        <v>1536</v>
      </c>
      <c r="B736" s="170" t="s">
        <v>88</v>
      </c>
      <c r="C736" s="186" t="s">
        <v>43</v>
      </c>
      <c r="D736" s="186" t="s">
        <v>89</v>
      </c>
      <c r="E736" s="171" t="s">
        <v>80</v>
      </c>
      <c r="F736" s="170">
        <v>91.92</v>
      </c>
      <c r="G736" s="172"/>
      <c r="H736" s="194"/>
      <c r="I736" s="172"/>
      <c r="J736" s="172"/>
      <c r="K736" s="258"/>
    </row>
    <row r="737" spans="1:11" ht="38.25">
      <c r="A737" s="257" t="s">
        <v>1537</v>
      </c>
      <c r="B737" s="170" t="s">
        <v>91</v>
      </c>
      <c r="C737" s="186" t="s">
        <v>43</v>
      </c>
      <c r="D737" s="186" t="s">
        <v>92</v>
      </c>
      <c r="E737" s="171" t="s">
        <v>80</v>
      </c>
      <c r="F737" s="170">
        <v>30.37</v>
      </c>
      <c r="G737" s="172"/>
      <c r="H737" s="194"/>
      <c r="I737" s="172"/>
      <c r="J737" s="172"/>
      <c r="K737" s="258"/>
    </row>
    <row r="738" spans="1:11" ht="25.5">
      <c r="A738" s="257" t="s">
        <v>1538</v>
      </c>
      <c r="B738" s="170" t="s">
        <v>1432</v>
      </c>
      <c r="C738" s="186" t="s">
        <v>43</v>
      </c>
      <c r="D738" s="186" t="s">
        <v>1433</v>
      </c>
      <c r="E738" s="171" t="s">
        <v>80</v>
      </c>
      <c r="F738" s="170">
        <v>43.46</v>
      </c>
      <c r="G738" s="172"/>
      <c r="H738" s="194"/>
      <c r="I738" s="172"/>
      <c r="J738" s="172"/>
      <c r="K738" s="258"/>
    </row>
    <row r="739" spans="1:11" ht="25.5">
      <c r="A739" s="257" t="s">
        <v>1539</v>
      </c>
      <c r="B739" s="170" t="s">
        <v>1435</v>
      </c>
      <c r="C739" s="186" t="s">
        <v>43</v>
      </c>
      <c r="D739" s="186" t="s">
        <v>1436</v>
      </c>
      <c r="E739" s="171" t="s">
        <v>80</v>
      </c>
      <c r="F739" s="170">
        <v>97.55</v>
      </c>
      <c r="G739" s="172"/>
      <c r="H739" s="194"/>
      <c r="I739" s="172"/>
      <c r="J739" s="172"/>
      <c r="K739" s="258"/>
    </row>
    <row r="740" spans="1:11" ht="25.5">
      <c r="A740" s="257" t="s">
        <v>1540</v>
      </c>
      <c r="B740" s="170" t="s">
        <v>106</v>
      </c>
      <c r="C740" s="186" t="s">
        <v>43</v>
      </c>
      <c r="D740" s="186" t="s">
        <v>107</v>
      </c>
      <c r="E740" s="171" t="s">
        <v>80</v>
      </c>
      <c r="F740" s="170">
        <v>17.010000000000002</v>
      </c>
      <c r="G740" s="172"/>
      <c r="H740" s="194"/>
      <c r="I740" s="172"/>
      <c r="J740" s="172"/>
      <c r="K740" s="258"/>
    </row>
    <row r="741" spans="1:11" ht="25.5">
      <c r="A741" s="257" t="s">
        <v>1541</v>
      </c>
      <c r="B741" s="170" t="s">
        <v>109</v>
      </c>
      <c r="C741" s="186" t="s">
        <v>43</v>
      </c>
      <c r="D741" s="186" t="s">
        <v>110</v>
      </c>
      <c r="E741" s="171" t="s">
        <v>80</v>
      </c>
      <c r="F741" s="170">
        <v>42.64</v>
      </c>
      <c r="G741" s="172"/>
      <c r="H741" s="194"/>
      <c r="I741" s="172"/>
      <c r="J741" s="172"/>
      <c r="K741" s="258"/>
    </row>
    <row r="742" spans="1:11" ht="25.5">
      <c r="A742" s="257" t="s">
        <v>1542</v>
      </c>
      <c r="B742" s="170" t="s">
        <v>118</v>
      </c>
      <c r="C742" s="186" t="s">
        <v>43</v>
      </c>
      <c r="D742" s="186" t="s">
        <v>119</v>
      </c>
      <c r="E742" s="171" t="s">
        <v>80</v>
      </c>
      <c r="F742" s="170">
        <v>35.92</v>
      </c>
      <c r="G742" s="172"/>
      <c r="H742" s="194"/>
      <c r="I742" s="172"/>
      <c r="J742" s="172"/>
      <c r="K742" s="258"/>
    </row>
    <row r="743" spans="1:11" ht="51">
      <c r="A743" s="257" t="s">
        <v>1543</v>
      </c>
      <c r="B743" s="170" t="s">
        <v>100</v>
      </c>
      <c r="C743" s="186" t="s">
        <v>43</v>
      </c>
      <c r="D743" s="186" t="s">
        <v>101</v>
      </c>
      <c r="E743" s="171" t="s">
        <v>45</v>
      </c>
      <c r="F743" s="170">
        <v>36.5</v>
      </c>
      <c r="G743" s="172"/>
      <c r="H743" s="194"/>
      <c r="I743" s="172"/>
      <c r="J743" s="172"/>
      <c r="K743" s="258"/>
    </row>
    <row r="744" spans="1:11" ht="38.25">
      <c r="A744" s="257" t="s">
        <v>1544</v>
      </c>
      <c r="B744" s="170" t="s">
        <v>103</v>
      </c>
      <c r="C744" s="186" t="s">
        <v>43</v>
      </c>
      <c r="D744" s="186" t="s">
        <v>104</v>
      </c>
      <c r="E744" s="171" t="s">
        <v>45</v>
      </c>
      <c r="F744" s="170">
        <v>60.3</v>
      </c>
      <c r="G744" s="172"/>
      <c r="H744" s="194"/>
      <c r="I744" s="172"/>
      <c r="J744" s="172"/>
      <c r="K744" s="258"/>
    </row>
    <row r="745" spans="1:11" ht="38.25">
      <c r="A745" s="257" t="s">
        <v>1545</v>
      </c>
      <c r="B745" s="170" t="s">
        <v>121</v>
      </c>
      <c r="C745" s="186" t="s">
        <v>43</v>
      </c>
      <c r="D745" s="186" t="s">
        <v>122</v>
      </c>
      <c r="E745" s="171" t="s">
        <v>45</v>
      </c>
      <c r="F745" s="170">
        <v>17.100000000000001</v>
      </c>
      <c r="G745" s="172"/>
      <c r="H745" s="194"/>
      <c r="I745" s="172"/>
      <c r="J745" s="172"/>
      <c r="K745" s="258"/>
    </row>
    <row r="746" spans="1:11" ht="39.6" customHeight="1">
      <c r="A746" s="257" t="s">
        <v>1546</v>
      </c>
      <c r="B746" s="170" t="s">
        <v>124</v>
      </c>
      <c r="C746" s="186" t="s">
        <v>34</v>
      </c>
      <c r="D746" s="186" t="s">
        <v>125</v>
      </c>
      <c r="E746" s="171" t="s">
        <v>126</v>
      </c>
      <c r="F746" s="170">
        <v>8.8000000000000007</v>
      </c>
      <c r="G746" s="172"/>
      <c r="H746" s="194"/>
      <c r="I746" s="172"/>
      <c r="J746" s="172"/>
      <c r="K746" s="258"/>
    </row>
    <row r="747" spans="1:11">
      <c r="A747" s="259" t="s">
        <v>1547</v>
      </c>
      <c r="B747" s="187"/>
      <c r="C747" s="187"/>
      <c r="D747" s="187" t="s">
        <v>134</v>
      </c>
      <c r="E747" s="187"/>
      <c r="F747" s="169"/>
      <c r="G747" s="187"/>
      <c r="H747" s="193"/>
      <c r="I747" s="187"/>
      <c r="J747" s="168"/>
      <c r="K747" s="260"/>
    </row>
    <row r="748" spans="1:11" ht="38.25">
      <c r="A748" s="257" t="s">
        <v>1548</v>
      </c>
      <c r="B748" s="170" t="s">
        <v>976</v>
      </c>
      <c r="C748" s="186" t="s">
        <v>43</v>
      </c>
      <c r="D748" s="186" t="s">
        <v>977</v>
      </c>
      <c r="E748" s="171" t="s">
        <v>45</v>
      </c>
      <c r="F748" s="170">
        <v>113.27</v>
      </c>
      <c r="G748" s="172"/>
      <c r="H748" s="194"/>
      <c r="I748" s="172"/>
      <c r="J748" s="172"/>
      <c r="K748" s="258"/>
    </row>
    <row r="749" spans="1:11" ht="25.5">
      <c r="A749" s="257" t="s">
        <v>1549</v>
      </c>
      <c r="B749" s="170" t="s">
        <v>142</v>
      </c>
      <c r="C749" s="186" t="s">
        <v>43</v>
      </c>
      <c r="D749" s="186" t="s">
        <v>143</v>
      </c>
      <c r="E749" s="171" t="s">
        <v>144</v>
      </c>
      <c r="F749" s="170">
        <v>9.3000000000000007</v>
      </c>
      <c r="G749" s="172"/>
      <c r="H749" s="194"/>
      <c r="I749" s="172"/>
      <c r="J749" s="172"/>
      <c r="K749" s="258"/>
    </row>
    <row r="750" spans="1:11" ht="25.5">
      <c r="A750" s="257" t="s">
        <v>1550</v>
      </c>
      <c r="B750" s="170" t="s">
        <v>146</v>
      </c>
      <c r="C750" s="186" t="s">
        <v>43</v>
      </c>
      <c r="D750" s="186" t="s">
        <v>147</v>
      </c>
      <c r="E750" s="171" t="s">
        <v>144</v>
      </c>
      <c r="F750" s="170">
        <v>11.9</v>
      </c>
      <c r="G750" s="172"/>
      <c r="H750" s="194"/>
      <c r="I750" s="172"/>
      <c r="J750" s="172"/>
      <c r="K750" s="258"/>
    </row>
    <row r="751" spans="1:11">
      <c r="A751" s="257" t="s">
        <v>1551</v>
      </c>
      <c r="B751" s="170" t="s">
        <v>149</v>
      </c>
      <c r="C751" s="186" t="s">
        <v>43</v>
      </c>
      <c r="D751" s="186" t="s">
        <v>150</v>
      </c>
      <c r="E751" s="171" t="s">
        <v>144</v>
      </c>
      <c r="F751" s="170">
        <v>2.2000000000000002</v>
      </c>
      <c r="G751" s="172"/>
      <c r="H751" s="194"/>
      <c r="I751" s="172"/>
      <c r="J751" s="172"/>
      <c r="K751" s="258"/>
    </row>
    <row r="752" spans="1:11" ht="26.45" customHeight="1">
      <c r="A752" s="257" t="s">
        <v>1552</v>
      </c>
      <c r="B752" s="170" t="s">
        <v>152</v>
      </c>
      <c r="C752" s="186" t="s">
        <v>43</v>
      </c>
      <c r="D752" s="186" t="s">
        <v>153</v>
      </c>
      <c r="E752" s="171" t="s">
        <v>144</v>
      </c>
      <c r="F752" s="170">
        <v>11.9</v>
      </c>
      <c r="G752" s="172"/>
      <c r="H752" s="194"/>
      <c r="I752" s="172"/>
      <c r="J752" s="172"/>
      <c r="K752" s="258"/>
    </row>
    <row r="753" spans="1:11">
      <c r="A753" s="259" t="s">
        <v>1553</v>
      </c>
      <c r="B753" s="187"/>
      <c r="C753" s="187"/>
      <c r="D753" s="187" t="s">
        <v>190</v>
      </c>
      <c r="E753" s="187"/>
      <c r="F753" s="169"/>
      <c r="G753" s="187"/>
      <c r="H753" s="193"/>
      <c r="I753" s="187"/>
      <c r="J753" s="168"/>
      <c r="K753" s="260"/>
    </row>
    <row r="754" spans="1:11" ht="25.5">
      <c r="A754" s="257" t="s">
        <v>1554</v>
      </c>
      <c r="B754" s="170" t="s">
        <v>192</v>
      </c>
      <c r="C754" s="186" t="s">
        <v>43</v>
      </c>
      <c r="D754" s="186" t="s">
        <v>193</v>
      </c>
      <c r="E754" s="171" t="s">
        <v>45</v>
      </c>
      <c r="F754" s="170">
        <v>111.08</v>
      </c>
      <c r="G754" s="172"/>
      <c r="H754" s="194"/>
      <c r="I754" s="172"/>
      <c r="J754" s="172"/>
      <c r="K754" s="258"/>
    </row>
    <row r="755" spans="1:11" ht="38.25">
      <c r="A755" s="257" t="s">
        <v>1555</v>
      </c>
      <c r="B755" s="170" t="s">
        <v>195</v>
      </c>
      <c r="C755" s="186" t="s">
        <v>43</v>
      </c>
      <c r="D755" s="186" t="s">
        <v>196</v>
      </c>
      <c r="E755" s="171" t="s">
        <v>45</v>
      </c>
      <c r="F755" s="170">
        <v>108.65</v>
      </c>
      <c r="G755" s="172"/>
      <c r="H755" s="194"/>
      <c r="I755" s="172"/>
      <c r="J755" s="172"/>
      <c r="K755" s="258"/>
    </row>
    <row r="756" spans="1:11" ht="25.5">
      <c r="A756" s="257" t="s">
        <v>1556</v>
      </c>
      <c r="B756" s="170" t="s">
        <v>1303</v>
      </c>
      <c r="C756" s="186" t="s">
        <v>43</v>
      </c>
      <c r="D756" s="186" t="s">
        <v>1304</v>
      </c>
      <c r="E756" s="171" t="s">
        <v>45</v>
      </c>
      <c r="F756" s="170">
        <v>53.75</v>
      </c>
      <c r="G756" s="172"/>
      <c r="H756" s="194"/>
      <c r="I756" s="172"/>
      <c r="J756" s="172"/>
      <c r="K756" s="258"/>
    </row>
    <row r="757" spans="1:11" ht="25.5">
      <c r="A757" s="257" t="s">
        <v>1557</v>
      </c>
      <c r="B757" s="170" t="s">
        <v>201</v>
      </c>
      <c r="C757" s="186" t="s">
        <v>43</v>
      </c>
      <c r="D757" s="186" t="s">
        <v>202</v>
      </c>
      <c r="E757" s="171" t="s">
        <v>45</v>
      </c>
      <c r="F757" s="170">
        <v>191.62</v>
      </c>
      <c r="G757" s="172"/>
      <c r="H757" s="194"/>
      <c r="I757" s="172"/>
      <c r="J757" s="172"/>
      <c r="K757" s="258"/>
    </row>
    <row r="758" spans="1:11">
      <c r="A758" s="259" t="s">
        <v>1558</v>
      </c>
      <c r="B758" s="187"/>
      <c r="C758" s="187"/>
      <c r="D758" s="187" t="s">
        <v>204</v>
      </c>
      <c r="E758" s="187"/>
      <c r="F758" s="169"/>
      <c r="G758" s="187"/>
      <c r="H758" s="193"/>
      <c r="I758" s="187"/>
      <c r="J758" s="168"/>
      <c r="K758" s="260"/>
    </row>
    <row r="759" spans="1:11" ht="38.25">
      <c r="A759" s="257" t="s">
        <v>1559</v>
      </c>
      <c r="B759" s="170" t="s">
        <v>206</v>
      </c>
      <c r="C759" s="186" t="s">
        <v>43</v>
      </c>
      <c r="D759" s="186" t="s">
        <v>207</v>
      </c>
      <c r="E759" s="171" t="s">
        <v>45</v>
      </c>
      <c r="F759" s="170">
        <v>48.77</v>
      </c>
      <c r="G759" s="172"/>
      <c r="H759" s="194"/>
      <c r="I759" s="172"/>
      <c r="J759" s="172"/>
      <c r="K759" s="258"/>
    </row>
    <row r="760" spans="1:11" ht="25.5">
      <c r="A760" s="257" t="s">
        <v>1560</v>
      </c>
      <c r="B760" s="170" t="s">
        <v>209</v>
      </c>
      <c r="C760" s="186" t="s">
        <v>43</v>
      </c>
      <c r="D760" s="186" t="s">
        <v>210</v>
      </c>
      <c r="E760" s="171" t="s">
        <v>45</v>
      </c>
      <c r="F760" s="170">
        <v>48.77</v>
      </c>
      <c r="G760" s="172"/>
      <c r="H760" s="194"/>
      <c r="I760" s="172"/>
      <c r="J760" s="172"/>
      <c r="K760" s="258"/>
    </row>
    <row r="761" spans="1:11" ht="25.5">
      <c r="A761" s="257" t="s">
        <v>1561</v>
      </c>
      <c r="B761" s="170" t="s">
        <v>212</v>
      </c>
      <c r="C761" s="186" t="s">
        <v>43</v>
      </c>
      <c r="D761" s="186" t="s">
        <v>213</v>
      </c>
      <c r="E761" s="171" t="s">
        <v>45</v>
      </c>
      <c r="F761" s="170">
        <v>48.77</v>
      </c>
      <c r="G761" s="172"/>
      <c r="H761" s="194"/>
      <c r="I761" s="172"/>
      <c r="J761" s="172"/>
      <c r="K761" s="258"/>
    </row>
    <row r="762" spans="1:11" ht="51">
      <c r="A762" s="257" t="s">
        <v>1562</v>
      </c>
      <c r="B762" s="170" t="s">
        <v>218</v>
      </c>
      <c r="C762" s="186" t="s">
        <v>43</v>
      </c>
      <c r="D762" s="186" t="s">
        <v>219</v>
      </c>
      <c r="E762" s="171" t="s">
        <v>45</v>
      </c>
      <c r="F762" s="170">
        <v>48.77</v>
      </c>
      <c r="G762" s="172"/>
      <c r="H762" s="194"/>
      <c r="I762" s="172"/>
      <c r="J762" s="172"/>
      <c r="K762" s="258"/>
    </row>
    <row r="763" spans="1:11" ht="38.25">
      <c r="A763" s="257" t="s">
        <v>1563</v>
      </c>
      <c r="B763" s="170" t="s">
        <v>1312</v>
      </c>
      <c r="C763" s="186" t="s">
        <v>43</v>
      </c>
      <c r="D763" s="186" t="s">
        <v>1313</v>
      </c>
      <c r="E763" s="171" t="s">
        <v>45</v>
      </c>
      <c r="F763" s="170">
        <v>11.03</v>
      </c>
      <c r="G763" s="172"/>
      <c r="H763" s="194"/>
      <c r="I763" s="172"/>
      <c r="J763" s="172"/>
      <c r="K763" s="258"/>
    </row>
    <row r="764" spans="1:11" ht="63.75">
      <c r="A764" s="257" t="s">
        <v>1564</v>
      </c>
      <c r="B764" s="170" t="s">
        <v>230</v>
      </c>
      <c r="C764" s="186" t="s">
        <v>43</v>
      </c>
      <c r="D764" s="186" t="s">
        <v>231</v>
      </c>
      <c r="E764" s="171" t="s">
        <v>45</v>
      </c>
      <c r="F764" s="170">
        <v>14.29</v>
      </c>
      <c r="G764" s="172"/>
      <c r="H764" s="194"/>
      <c r="I764" s="172"/>
      <c r="J764" s="172"/>
      <c r="K764" s="258"/>
    </row>
    <row r="765" spans="1:11" ht="38.25">
      <c r="A765" s="257" t="s">
        <v>1565</v>
      </c>
      <c r="B765" s="170" t="s">
        <v>239</v>
      </c>
      <c r="C765" s="186" t="s">
        <v>43</v>
      </c>
      <c r="D765" s="186" t="s">
        <v>240</v>
      </c>
      <c r="E765" s="171" t="s">
        <v>45</v>
      </c>
      <c r="F765" s="170">
        <v>3.78</v>
      </c>
      <c r="G765" s="172"/>
      <c r="H765" s="194"/>
      <c r="I765" s="172"/>
      <c r="J765" s="172"/>
      <c r="K765" s="258"/>
    </row>
    <row r="766" spans="1:11" ht="25.5">
      <c r="A766" s="257" t="s">
        <v>1566</v>
      </c>
      <c r="B766" s="170" t="s">
        <v>236</v>
      </c>
      <c r="C766" s="186" t="s">
        <v>43</v>
      </c>
      <c r="D766" s="186" t="s">
        <v>237</v>
      </c>
      <c r="E766" s="171" t="s">
        <v>144</v>
      </c>
      <c r="F766" s="170">
        <v>2.7</v>
      </c>
      <c r="G766" s="172"/>
      <c r="H766" s="194"/>
      <c r="I766" s="172"/>
      <c r="J766" s="172"/>
      <c r="K766" s="258"/>
    </row>
    <row r="767" spans="1:11">
      <c r="A767" s="259" t="s">
        <v>1567</v>
      </c>
      <c r="B767" s="187"/>
      <c r="C767" s="187"/>
      <c r="D767" s="187" t="s">
        <v>257</v>
      </c>
      <c r="E767" s="187"/>
      <c r="F767" s="169"/>
      <c r="G767" s="187"/>
      <c r="H767" s="193"/>
      <c r="I767" s="187"/>
      <c r="J767" s="168"/>
      <c r="K767" s="260"/>
    </row>
    <row r="768" spans="1:11" ht="38.25">
      <c r="A768" s="257" t="s">
        <v>1568</v>
      </c>
      <c r="B768" s="170" t="s">
        <v>259</v>
      </c>
      <c r="C768" s="186" t="s">
        <v>43</v>
      </c>
      <c r="D768" s="186" t="s">
        <v>260</v>
      </c>
      <c r="E768" s="171" t="s">
        <v>45</v>
      </c>
      <c r="F768" s="170">
        <v>164.4</v>
      </c>
      <c r="G768" s="172"/>
      <c r="H768" s="194"/>
      <c r="I768" s="172"/>
      <c r="J768" s="172"/>
      <c r="K768" s="258"/>
    </row>
    <row r="769" spans="1:11" ht="51">
      <c r="A769" s="257" t="s">
        <v>1569</v>
      </c>
      <c r="B769" s="170" t="s">
        <v>262</v>
      </c>
      <c r="C769" s="186" t="s">
        <v>43</v>
      </c>
      <c r="D769" s="186" t="s">
        <v>263</v>
      </c>
      <c r="E769" s="171" t="s">
        <v>45</v>
      </c>
      <c r="F769" s="170">
        <v>121.83</v>
      </c>
      <c r="G769" s="172"/>
      <c r="H769" s="194"/>
      <c r="I769" s="172"/>
      <c r="J769" s="172"/>
      <c r="K769" s="258"/>
    </row>
    <row r="770" spans="1:11" ht="51">
      <c r="A770" s="257" t="s">
        <v>1570</v>
      </c>
      <c r="B770" s="170" t="s">
        <v>265</v>
      </c>
      <c r="C770" s="186" t="s">
        <v>43</v>
      </c>
      <c r="D770" s="186" t="s">
        <v>266</v>
      </c>
      <c r="E770" s="171" t="s">
        <v>45</v>
      </c>
      <c r="F770" s="170">
        <v>164.4</v>
      </c>
      <c r="G770" s="172"/>
      <c r="H770" s="194"/>
      <c r="I770" s="172"/>
      <c r="J770" s="172"/>
      <c r="K770" s="258"/>
    </row>
    <row r="771" spans="1:11" ht="51">
      <c r="A771" s="257" t="s">
        <v>1571</v>
      </c>
      <c r="B771" s="170" t="s">
        <v>268</v>
      </c>
      <c r="C771" s="186" t="s">
        <v>43</v>
      </c>
      <c r="D771" s="186" t="s">
        <v>269</v>
      </c>
      <c r="E771" s="171" t="s">
        <v>45</v>
      </c>
      <c r="F771" s="170">
        <v>121.83</v>
      </c>
      <c r="G771" s="172"/>
      <c r="H771" s="194"/>
      <c r="I771" s="172"/>
      <c r="J771" s="172"/>
      <c r="K771" s="258"/>
    </row>
    <row r="772" spans="1:11" ht="51">
      <c r="A772" s="257" t="s">
        <v>1572</v>
      </c>
      <c r="B772" s="170" t="s">
        <v>271</v>
      </c>
      <c r="C772" s="186" t="s">
        <v>43</v>
      </c>
      <c r="D772" s="186" t="s">
        <v>272</v>
      </c>
      <c r="E772" s="171" t="s">
        <v>45</v>
      </c>
      <c r="F772" s="170">
        <v>43.37</v>
      </c>
      <c r="G772" s="172"/>
      <c r="H772" s="194"/>
      <c r="I772" s="172"/>
      <c r="J772" s="172"/>
      <c r="K772" s="258"/>
    </row>
    <row r="773" spans="1:11" ht="25.5">
      <c r="A773" s="257" t="s">
        <v>1573</v>
      </c>
      <c r="B773" s="170" t="s">
        <v>274</v>
      </c>
      <c r="C773" s="186" t="s">
        <v>34</v>
      </c>
      <c r="D773" s="186" t="s">
        <v>275</v>
      </c>
      <c r="E773" s="171" t="s">
        <v>276</v>
      </c>
      <c r="F773" s="170">
        <v>121.83</v>
      </c>
      <c r="G773" s="172"/>
      <c r="H773" s="194"/>
      <c r="I773" s="172"/>
      <c r="J773" s="172"/>
      <c r="K773" s="258"/>
    </row>
    <row r="774" spans="1:11">
      <c r="A774" s="259" t="s">
        <v>1574</v>
      </c>
      <c r="B774" s="187"/>
      <c r="C774" s="187"/>
      <c r="D774" s="187" t="s">
        <v>294</v>
      </c>
      <c r="E774" s="187"/>
      <c r="F774" s="169"/>
      <c r="G774" s="187"/>
      <c r="H774" s="193"/>
      <c r="I774" s="187"/>
      <c r="J774" s="168"/>
      <c r="K774" s="260"/>
    </row>
    <row r="775" spans="1:11" ht="25.5">
      <c r="A775" s="257" t="s">
        <v>1575</v>
      </c>
      <c r="B775" s="170" t="s">
        <v>296</v>
      </c>
      <c r="C775" s="186" t="s">
        <v>43</v>
      </c>
      <c r="D775" s="186" t="s">
        <v>297</v>
      </c>
      <c r="E775" s="171" t="s">
        <v>45</v>
      </c>
      <c r="F775" s="170">
        <v>10.78</v>
      </c>
      <c r="G775" s="172"/>
      <c r="H775" s="194"/>
      <c r="I775" s="172"/>
      <c r="J775" s="172"/>
      <c r="K775" s="258"/>
    </row>
    <row r="776" spans="1:11">
      <c r="A776" s="259" t="s">
        <v>1576</v>
      </c>
      <c r="B776" s="187"/>
      <c r="C776" s="187"/>
      <c r="D776" s="187" t="s">
        <v>302</v>
      </c>
      <c r="E776" s="187"/>
      <c r="F776" s="169"/>
      <c r="G776" s="187"/>
      <c r="H776" s="193"/>
      <c r="I776" s="187"/>
      <c r="J776" s="168"/>
      <c r="K776" s="260"/>
    </row>
    <row r="777" spans="1:11" ht="38.25">
      <c r="A777" s="257" t="s">
        <v>1577</v>
      </c>
      <c r="B777" s="170" t="s">
        <v>1036</v>
      </c>
      <c r="C777" s="186" t="s">
        <v>43</v>
      </c>
      <c r="D777" s="186" t="s">
        <v>1037</v>
      </c>
      <c r="E777" s="171" t="s">
        <v>45</v>
      </c>
      <c r="F777" s="170">
        <v>3.78</v>
      </c>
      <c r="G777" s="172"/>
      <c r="H777" s="194"/>
      <c r="I777" s="172"/>
      <c r="J777" s="172"/>
      <c r="K777" s="258"/>
    </row>
    <row r="778" spans="1:11">
      <c r="A778" s="257" t="s">
        <v>1578</v>
      </c>
      <c r="B778" s="170" t="s">
        <v>319</v>
      </c>
      <c r="C778" s="186" t="s">
        <v>34</v>
      </c>
      <c r="D778" s="186" t="s">
        <v>320</v>
      </c>
      <c r="E778" s="171" t="s">
        <v>45</v>
      </c>
      <c r="F778" s="170">
        <v>0.3</v>
      </c>
      <c r="G778" s="172"/>
      <c r="H778" s="194"/>
      <c r="I778" s="172"/>
      <c r="J778" s="172"/>
      <c r="K778" s="258"/>
    </row>
    <row r="779" spans="1:11" ht="51">
      <c r="A779" s="257" t="s">
        <v>1579</v>
      </c>
      <c r="B779" s="170" t="s">
        <v>1580</v>
      </c>
      <c r="C779" s="186" t="s">
        <v>43</v>
      </c>
      <c r="D779" s="186" t="s">
        <v>1581</v>
      </c>
      <c r="E779" s="171" t="s">
        <v>45</v>
      </c>
      <c r="F779" s="170">
        <v>1.32</v>
      </c>
      <c r="G779" s="172"/>
      <c r="H779" s="194"/>
      <c r="I779" s="172"/>
      <c r="J779" s="172"/>
      <c r="K779" s="258"/>
    </row>
    <row r="780" spans="1:11" ht="76.5">
      <c r="A780" s="257" t="s">
        <v>1582</v>
      </c>
      <c r="B780" s="170" t="s">
        <v>1583</v>
      </c>
      <c r="C780" s="186" t="s">
        <v>43</v>
      </c>
      <c r="D780" s="186" t="s">
        <v>1584</v>
      </c>
      <c r="E780" s="171" t="s">
        <v>45</v>
      </c>
      <c r="F780" s="170">
        <v>2.42</v>
      </c>
      <c r="G780" s="172"/>
      <c r="H780" s="194"/>
      <c r="I780" s="172"/>
      <c r="J780" s="172"/>
      <c r="K780" s="258"/>
    </row>
    <row r="781" spans="1:11" ht="25.5">
      <c r="A781" s="257" t="s">
        <v>1585</v>
      </c>
      <c r="B781" s="170" t="s">
        <v>1041</v>
      </c>
      <c r="C781" s="186" t="s">
        <v>43</v>
      </c>
      <c r="D781" s="186" t="s">
        <v>1042</v>
      </c>
      <c r="E781" s="171" t="s">
        <v>45</v>
      </c>
      <c r="F781" s="170">
        <v>22.32</v>
      </c>
      <c r="G781" s="172"/>
      <c r="H781" s="194"/>
      <c r="I781" s="172"/>
      <c r="J781" s="172"/>
      <c r="K781" s="258"/>
    </row>
    <row r="782" spans="1:11" ht="63.75">
      <c r="A782" s="257" t="s">
        <v>1586</v>
      </c>
      <c r="B782" s="170" t="s">
        <v>304</v>
      </c>
      <c r="C782" s="186" t="s">
        <v>43</v>
      </c>
      <c r="D782" s="186" t="s">
        <v>305</v>
      </c>
      <c r="E782" s="171" t="s">
        <v>36</v>
      </c>
      <c r="F782" s="170">
        <v>1</v>
      </c>
      <c r="G782" s="172"/>
      <c r="H782" s="194"/>
      <c r="I782" s="172"/>
      <c r="J782" s="172"/>
      <c r="K782" s="258"/>
    </row>
    <row r="783" spans="1:11">
      <c r="A783" s="257" t="s">
        <v>1587</v>
      </c>
      <c r="B783" s="170" t="s">
        <v>1032</v>
      </c>
      <c r="C783" s="186" t="s">
        <v>34</v>
      </c>
      <c r="D783" s="186" t="s">
        <v>1033</v>
      </c>
      <c r="E783" s="171" t="s">
        <v>45</v>
      </c>
      <c r="F783" s="170">
        <v>6.8</v>
      </c>
      <c r="G783" s="172"/>
      <c r="H783" s="194"/>
      <c r="I783" s="172"/>
      <c r="J783" s="172"/>
      <c r="K783" s="258"/>
    </row>
    <row r="784" spans="1:11" ht="38.25">
      <c r="A784" s="257" t="s">
        <v>1588</v>
      </c>
      <c r="B784" s="170" t="s">
        <v>340</v>
      </c>
      <c r="C784" s="186" t="s">
        <v>43</v>
      </c>
      <c r="D784" s="186" t="s">
        <v>341</v>
      </c>
      <c r="E784" s="171" t="s">
        <v>45</v>
      </c>
      <c r="F784" s="170">
        <v>9.7200000000000006</v>
      </c>
      <c r="G784" s="172"/>
      <c r="H784" s="194"/>
      <c r="I784" s="172"/>
      <c r="J784" s="172"/>
      <c r="K784" s="258"/>
    </row>
    <row r="785" spans="1:11">
      <c r="A785" s="259" t="s">
        <v>1589</v>
      </c>
      <c r="B785" s="187"/>
      <c r="C785" s="187"/>
      <c r="D785" s="187" t="s">
        <v>349</v>
      </c>
      <c r="E785" s="187"/>
      <c r="F785" s="169"/>
      <c r="G785" s="187"/>
      <c r="H785" s="193"/>
      <c r="I785" s="187"/>
      <c r="J785" s="168"/>
      <c r="K785" s="260"/>
    </row>
    <row r="786" spans="1:11" ht="25.5">
      <c r="A786" s="257" t="s">
        <v>1590</v>
      </c>
      <c r="B786" s="170" t="s">
        <v>351</v>
      </c>
      <c r="C786" s="186" t="s">
        <v>43</v>
      </c>
      <c r="D786" s="186" t="s">
        <v>352</v>
      </c>
      <c r="E786" s="171" t="s">
        <v>45</v>
      </c>
      <c r="F786" s="170">
        <v>118.25</v>
      </c>
      <c r="G786" s="172"/>
      <c r="H786" s="194"/>
      <c r="I786" s="172"/>
      <c r="J786" s="172"/>
      <c r="K786" s="258"/>
    </row>
    <row r="787" spans="1:11" ht="25.5">
      <c r="A787" s="257" t="s">
        <v>1591</v>
      </c>
      <c r="B787" s="170" t="s">
        <v>354</v>
      </c>
      <c r="C787" s="186" t="s">
        <v>43</v>
      </c>
      <c r="D787" s="186" t="s">
        <v>355</v>
      </c>
      <c r="E787" s="171" t="s">
        <v>45</v>
      </c>
      <c r="F787" s="170">
        <v>118.25</v>
      </c>
      <c r="G787" s="172"/>
      <c r="H787" s="194"/>
      <c r="I787" s="172"/>
      <c r="J787" s="172"/>
      <c r="K787" s="258"/>
    </row>
    <row r="788" spans="1:11" ht="25.5">
      <c r="A788" s="257" t="s">
        <v>1592</v>
      </c>
      <c r="B788" s="170" t="s">
        <v>357</v>
      </c>
      <c r="C788" s="186" t="s">
        <v>43</v>
      </c>
      <c r="D788" s="186" t="s">
        <v>358</v>
      </c>
      <c r="E788" s="171" t="s">
        <v>45</v>
      </c>
      <c r="F788" s="170">
        <v>118.25</v>
      </c>
      <c r="G788" s="172"/>
      <c r="H788" s="194"/>
      <c r="I788" s="172"/>
      <c r="J788" s="172"/>
      <c r="K788" s="258"/>
    </row>
    <row r="789" spans="1:11" ht="25.5">
      <c r="A789" s="257" t="s">
        <v>1593</v>
      </c>
      <c r="B789" s="170" t="s">
        <v>360</v>
      </c>
      <c r="C789" s="186" t="s">
        <v>43</v>
      </c>
      <c r="D789" s="186" t="s">
        <v>361</v>
      </c>
      <c r="E789" s="171" t="s">
        <v>45</v>
      </c>
      <c r="F789" s="170">
        <v>10.78</v>
      </c>
      <c r="G789" s="172"/>
      <c r="H789" s="194"/>
      <c r="I789" s="172"/>
      <c r="J789" s="172"/>
      <c r="K789" s="258"/>
    </row>
    <row r="790" spans="1:11" ht="25.5">
      <c r="A790" s="257" t="s">
        <v>1594</v>
      </c>
      <c r="B790" s="170" t="s">
        <v>363</v>
      </c>
      <c r="C790" s="186" t="s">
        <v>43</v>
      </c>
      <c r="D790" s="186" t="s">
        <v>364</v>
      </c>
      <c r="E790" s="171" t="s">
        <v>45</v>
      </c>
      <c r="F790" s="170">
        <v>10.78</v>
      </c>
      <c r="G790" s="172"/>
      <c r="H790" s="194"/>
      <c r="I790" s="172"/>
      <c r="J790" s="172"/>
      <c r="K790" s="258"/>
    </row>
    <row r="791" spans="1:11" ht="25.5">
      <c r="A791" s="257" t="s">
        <v>1595</v>
      </c>
      <c r="B791" s="170" t="s">
        <v>366</v>
      </c>
      <c r="C791" s="186" t="s">
        <v>43</v>
      </c>
      <c r="D791" s="186" t="s">
        <v>367</v>
      </c>
      <c r="E791" s="171" t="s">
        <v>45</v>
      </c>
      <c r="F791" s="170">
        <v>10.78</v>
      </c>
      <c r="G791" s="172"/>
      <c r="H791" s="194"/>
      <c r="I791" s="172"/>
      <c r="J791" s="172"/>
      <c r="K791" s="258"/>
    </row>
    <row r="792" spans="1:11">
      <c r="A792" s="259" t="s">
        <v>1596</v>
      </c>
      <c r="B792" s="187"/>
      <c r="C792" s="187"/>
      <c r="D792" s="187" t="s">
        <v>375</v>
      </c>
      <c r="E792" s="187"/>
      <c r="F792" s="169"/>
      <c r="G792" s="187"/>
      <c r="H792" s="193"/>
      <c r="I792" s="187"/>
      <c r="J792" s="168"/>
      <c r="K792" s="260"/>
    </row>
    <row r="793" spans="1:11" ht="38.25">
      <c r="A793" s="257" t="s">
        <v>1597</v>
      </c>
      <c r="B793" s="170" t="s">
        <v>1598</v>
      </c>
      <c r="C793" s="186" t="s">
        <v>43</v>
      </c>
      <c r="D793" s="186" t="s">
        <v>1599</v>
      </c>
      <c r="E793" s="171" t="s">
        <v>36</v>
      </c>
      <c r="F793" s="170">
        <v>1</v>
      </c>
      <c r="G793" s="172"/>
      <c r="H793" s="194"/>
      <c r="I793" s="172"/>
      <c r="J793" s="172"/>
      <c r="K793" s="258"/>
    </row>
    <row r="794" spans="1:11" ht="25.5">
      <c r="A794" s="257" t="s">
        <v>1600</v>
      </c>
      <c r="B794" s="170" t="s">
        <v>383</v>
      </c>
      <c r="C794" s="186" t="s">
        <v>43</v>
      </c>
      <c r="D794" s="186" t="s">
        <v>384</v>
      </c>
      <c r="E794" s="171" t="s">
        <v>36</v>
      </c>
      <c r="F794" s="170">
        <v>1</v>
      </c>
      <c r="G794" s="172"/>
      <c r="H794" s="194"/>
      <c r="I794" s="172"/>
      <c r="J794" s="172"/>
      <c r="K794" s="258"/>
    </row>
    <row r="795" spans="1:11" ht="25.5">
      <c r="A795" s="257" t="s">
        <v>1601</v>
      </c>
      <c r="B795" s="170" t="s">
        <v>404</v>
      </c>
      <c r="C795" s="186" t="s">
        <v>43</v>
      </c>
      <c r="D795" s="186" t="s">
        <v>405</v>
      </c>
      <c r="E795" s="171" t="s">
        <v>36</v>
      </c>
      <c r="F795" s="170">
        <v>1</v>
      </c>
      <c r="G795" s="172"/>
      <c r="H795" s="194"/>
      <c r="I795" s="172"/>
      <c r="J795" s="172"/>
      <c r="K795" s="258"/>
    </row>
    <row r="796" spans="1:11" ht="51">
      <c r="A796" s="257" t="s">
        <v>1602</v>
      </c>
      <c r="B796" s="170" t="s">
        <v>389</v>
      </c>
      <c r="C796" s="186" t="s">
        <v>34</v>
      </c>
      <c r="D796" s="186" t="s">
        <v>390</v>
      </c>
      <c r="E796" s="171" t="s">
        <v>31</v>
      </c>
      <c r="F796" s="170">
        <v>1</v>
      </c>
      <c r="G796" s="172"/>
      <c r="H796" s="194"/>
      <c r="I796" s="172"/>
      <c r="J796" s="172"/>
      <c r="K796" s="258"/>
    </row>
    <row r="797" spans="1:11" ht="25.5">
      <c r="A797" s="257" t="s">
        <v>1603</v>
      </c>
      <c r="B797" s="170" t="s">
        <v>386</v>
      </c>
      <c r="C797" s="186" t="s">
        <v>43</v>
      </c>
      <c r="D797" s="186" t="s">
        <v>387</v>
      </c>
      <c r="E797" s="171" t="s">
        <v>36</v>
      </c>
      <c r="F797" s="170">
        <v>1</v>
      </c>
      <c r="G797" s="172"/>
      <c r="H797" s="194"/>
      <c r="I797" s="172"/>
      <c r="J797" s="172"/>
      <c r="K797" s="258"/>
    </row>
    <row r="798" spans="1:11" ht="25.5">
      <c r="A798" s="257" t="s">
        <v>1604</v>
      </c>
      <c r="B798" s="170" t="s">
        <v>434</v>
      </c>
      <c r="C798" s="186" t="s">
        <v>34</v>
      </c>
      <c r="D798" s="186" t="s">
        <v>435</v>
      </c>
      <c r="E798" s="171" t="s">
        <v>36</v>
      </c>
      <c r="F798" s="170">
        <v>1</v>
      </c>
      <c r="G798" s="172"/>
      <c r="H798" s="194"/>
      <c r="I798" s="172"/>
      <c r="J798" s="172"/>
      <c r="K798" s="258"/>
    </row>
    <row r="799" spans="1:11" ht="25.5">
      <c r="A799" s="257" t="s">
        <v>1605</v>
      </c>
      <c r="B799" s="170" t="s">
        <v>437</v>
      </c>
      <c r="C799" s="186" t="s">
        <v>34</v>
      </c>
      <c r="D799" s="186" t="s">
        <v>438</v>
      </c>
      <c r="E799" s="171" t="s">
        <v>36</v>
      </c>
      <c r="F799" s="170">
        <v>1</v>
      </c>
      <c r="G799" s="172"/>
      <c r="H799" s="194"/>
      <c r="I799" s="172"/>
      <c r="J799" s="172"/>
      <c r="K799" s="258"/>
    </row>
    <row r="800" spans="1:11">
      <c r="A800" s="257" t="s">
        <v>1606</v>
      </c>
      <c r="B800" s="170" t="s">
        <v>431</v>
      </c>
      <c r="C800" s="186" t="s">
        <v>34</v>
      </c>
      <c r="D800" s="186" t="s">
        <v>432</v>
      </c>
      <c r="E800" s="171" t="s">
        <v>45</v>
      </c>
      <c r="F800" s="170">
        <v>1</v>
      </c>
      <c r="G800" s="172"/>
      <c r="H800" s="194"/>
      <c r="I800" s="172"/>
      <c r="J800" s="172"/>
      <c r="K800" s="258"/>
    </row>
    <row r="801" spans="1:11" ht="25.5">
      <c r="A801" s="257" t="s">
        <v>1607</v>
      </c>
      <c r="B801" s="170" t="s">
        <v>419</v>
      </c>
      <c r="C801" s="186" t="s">
        <v>43</v>
      </c>
      <c r="D801" s="186" t="s">
        <v>420</v>
      </c>
      <c r="E801" s="171" t="s">
        <v>36</v>
      </c>
      <c r="F801" s="170">
        <v>1</v>
      </c>
      <c r="G801" s="172"/>
      <c r="H801" s="194"/>
      <c r="I801" s="172"/>
      <c r="J801" s="172"/>
      <c r="K801" s="258"/>
    </row>
    <row r="802" spans="1:11" ht="25.5">
      <c r="A802" s="257" t="s">
        <v>1608</v>
      </c>
      <c r="B802" s="170" t="s">
        <v>425</v>
      </c>
      <c r="C802" s="186" t="s">
        <v>43</v>
      </c>
      <c r="D802" s="186" t="s">
        <v>426</v>
      </c>
      <c r="E802" s="171" t="s">
        <v>36</v>
      </c>
      <c r="F802" s="170">
        <v>1</v>
      </c>
      <c r="G802" s="172"/>
      <c r="H802" s="194"/>
      <c r="I802" s="172"/>
      <c r="J802" s="172"/>
      <c r="K802" s="258"/>
    </row>
    <row r="803" spans="1:11">
      <c r="A803" s="257" t="s">
        <v>1609</v>
      </c>
      <c r="B803" s="170" t="s">
        <v>1610</v>
      </c>
      <c r="C803" s="186" t="s">
        <v>34</v>
      </c>
      <c r="D803" s="186" t="s">
        <v>1611</v>
      </c>
      <c r="E803" s="171" t="s">
        <v>36</v>
      </c>
      <c r="F803" s="170">
        <v>1</v>
      </c>
      <c r="G803" s="172"/>
      <c r="H803" s="194"/>
      <c r="I803" s="172"/>
      <c r="J803" s="172"/>
      <c r="K803" s="258"/>
    </row>
    <row r="804" spans="1:11" ht="25.5">
      <c r="A804" s="257" t="s">
        <v>1612</v>
      </c>
      <c r="B804" s="170" t="s">
        <v>452</v>
      </c>
      <c r="C804" s="186" t="s">
        <v>34</v>
      </c>
      <c r="D804" s="186" t="s">
        <v>453</v>
      </c>
      <c r="E804" s="171" t="s">
        <v>36</v>
      </c>
      <c r="F804" s="170">
        <v>1</v>
      </c>
      <c r="G804" s="172"/>
      <c r="H804" s="194"/>
      <c r="I804" s="172"/>
      <c r="J804" s="172"/>
      <c r="K804" s="258"/>
    </row>
    <row r="805" spans="1:11" ht="25.5">
      <c r="A805" s="257" t="s">
        <v>1613</v>
      </c>
      <c r="B805" s="170" t="s">
        <v>155</v>
      </c>
      <c r="C805" s="186" t="s">
        <v>43</v>
      </c>
      <c r="D805" s="186" t="s">
        <v>156</v>
      </c>
      <c r="E805" s="171" t="s">
        <v>144</v>
      </c>
      <c r="F805" s="170">
        <v>15.24</v>
      </c>
      <c r="G805" s="172"/>
      <c r="H805" s="194"/>
      <c r="I805" s="172"/>
      <c r="J805" s="172"/>
      <c r="K805" s="258"/>
    </row>
    <row r="806" spans="1:11">
      <c r="A806" s="259" t="s">
        <v>1614</v>
      </c>
      <c r="B806" s="187"/>
      <c r="C806" s="187"/>
      <c r="D806" s="187" t="s">
        <v>700</v>
      </c>
      <c r="E806" s="187"/>
      <c r="F806" s="169"/>
      <c r="G806" s="187"/>
      <c r="H806" s="193"/>
      <c r="I806" s="187"/>
      <c r="J806" s="168"/>
      <c r="K806" s="260"/>
    </row>
    <row r="807" spans="1:11">
      <c r="A807" s="259" t="s">
        <v>1615</v>
      </c>
      <c r="B807" s="187"/>
      <c r="C807" s="187"/>
      <c r="D807" s="187" t="s">
        <v>702</v>
      </c>
      <c r="E807" s="187"/>
      <c r="F807" s="169"/>
      <c r="G807" s="187"/>
      <c r="H807" s="193"/>
      <c r="I807" s="187"/>
      <c r="J807" s="168"/>
      <c r="K807" s="260"/>
    </row>
    <row r="808" spans="1:11" ht="25.5">
      <c r="A808" s="257" t="s">
        <v>1616</v>
      </c>
      <c r="B808" s="170" t="s">
        <v>749</v>
      </c>
      <c r="C808" s="186" t="s">
        <v>43</v>
      </c>
      <c r="D808" s="186" t="s">
        <v>750</v>
      </c>
      <c r="E808" s="171" t="s">
        <v>36</v>
      </c>
      <c r="F808" s="170">
        <v>1</v>
      </c>
      <c r="G808" s="172"/>
      <c r="H808" s="194"/>
      <c r="I808" s="172"/>
      <c r="J808" s="172"/>
      <c r="K808" s="258"/>
    </row>
    <row r="809" spans="1:11" ht="25.5">
      <c r="A809" s="257" t="s">
        <v>1617</v>
      </c>
      <c r="B809" s="170" t="s">
        <v>704</v>
      </c>
      <c r="C809" s="186" t="s">
        <v>43</v>
      </c>
      <c r="D809" s="186" t="s">
        <v>705</v>
      </c>
      <c r="E809" s="171" t="s">
        <v>144</v>
      </c>
      <c r="F809" s="170">
        <v>3.49</v>
      </c>
      <c r="G809" s="172"/>
      <c r="H809" s="194"/>
      <c r="I809" s="172"/>
      <c r="J809" s="172"/>
      <c r="K809" s="258"/>
    </row>
    <row r="810" spans="1:11" ht="25.5">
      <c r="A810" s="257" t="s">
        <v>1618</v>
      </c>
      <c r="B810" s="170" t="s">
        <v>710</v>
      </c>
      <c r="C810" s="186" t="s">
        <v>43</v>
      </c>
      <c r="D810" s="186" t="s">
        <v>711</v>
      </c>
      <c r="E810" s="171" t="s">
        <v>144</v>
      </c>
      <c r="F810" s="170">
        <v>10.53</v>
      </c>
      <c r="G810" s="172"/>
      <c r="H810" s="194"/>
      <c r="I810" s="172"/>
      <c r="J810" s="172"/>
      <c r="K810" s="258"/>
    </row>
    <row r="811" spans="1:11" ht="38.25">
      <c r="A811" s="257" t="s">
        <v>1619</v>
      </c>
      <c r="B811" s="170" t="s">
        <v>1620</v>
      </c>
      <c r="C811" s="186" t="s">
        <v>43</v>
      </c>
      <c r="D811" s="186" t="s">
        <v>1621</v>
      </c>
      <c r="E811" s="171" t="s">
        <v>36</v>
      </c>
      <c r="F811" s="170">
        <v>2</v>
      </c>
      <c r="G811" s="172"/>
      <c r="H811" s="194"/>
      <c r="I811" s="172"/>
      <c r="J811" s="172"/>
      <c r="K811" s="258"/>
    </row>
    <row r="812" spans="1:11" ht="38.25">
      <c r="A812" s="257" t="s">
        <v>1622</v>
      </c>
      <c r="B812" s="170" t="s">
        <v>719</v>
      </c>
      <c r="C812" s="186" t="s">
        <v>43</v>
      </c>
      <c r="D812" s="186" t="s">
        <v>720</v>
      </c>
      <c r="E812" s="171" t="s">
        <v>36</v>
      </c>
      <c r="F812" s="170">
        <v>3</v>
      </c>
      <c r="G812" s="172"/>
      <c r="H812" s="194"/>
      <c r="I812" s="172"/>
      <c r="J812" s="172"/>
      <c r="K812" s="258"/>
    </row>
    <row r="813" spans="1:11" ht="25.5">
      <c r="A813" s="257" t="s">
        <v>1623</v>
      </c>
      <c r="B813" s="170" t="s">
        <v>728</v>
      </c>
      <c r="C813" s="186" t="s">
        <v>43</v>
      </c>
      <c r="D813" s="186" t="s">
        <v>729</v>
      </c>
      <c r="E813" s="171" t="s">
        <v>36</v>
      </c>
      <c r="F813" s="170">
        <v>8</v>
      </c>
      <c r="G813" s="172"/>
      <c r="H813" s="194"/>
      <c r="I813" s="172"/>
      <c r="J813" s="172"/>
      <c r="K813" s="258"/>
    </row>
    <row r="814" spans="1:11" ht="38.25">
      <c r="A814" s="257" t="s">
        <v>1624</v>
      </c>
      <c r="B814" s="170" t="s">
        <v>722</v>
      </c>
      <c r="C814" s="186" t="s">
        <v>43</v>
      </c>
      <c r="D814" s="186" t="s">
        <v>723</v>
      </c>
      <c r="E814" s="171" t="s">
        <v>36</v>
      </c>
      <c r="F814" s="170">
        <v>1</v>
      </c>
      <c r="G814" s="172"/>
      <c r="H814" s="194"/>
      <c r="I814" s="172"/>
      <c r="J814" s="172"/>
      <c r="K814" s="258"/>
    </row>
    <row r="815" spans="1:11" ht="25.5">
      <c r="A815" s="257" t="s">
        <v>1625</v>
      </c>
      <c r="B815" s="170" t="s">
        <v>1626</v>
      </c>
      <c r="C815" s="186" t="s">
        <v>43</v>
      </c>
      <c r="D815" s="186" t="s">
        <v>1627</v>
      </c>
      <c r="E815" s="171" t="s">
        <v>36</v>
      </c>
      <c r="F815" s="170">
        <v>3</v>
      </c>
      <c r="G815" s="172"/>
      <c r="H815" s="194"/>
      <c r="I815" s="172"/>
      <c r="J815" s="172"/>
      <c r="K815" s="258"/>
    </row>
    <row r="816" spans="1:11" ht="38.25">
      <c r="A816" s="257" t="s">
        <v>1628</v>
      </c>
      <c r="B816" s="170" t="s">
        <v>734</v>
      </c>
      <c r="C816" s="186" t="s">
        <v>43</v>
      </c>
      <c r="D816" s="186" t="s">
        <v>735</v>
      </c>
      <c r="E816" s="171" t="s">
        <v>36</v>
      </c>
      <c r="F816" s="170">
        <v>1</v>
      </c>
      <c r="G816" s="172"/>
      <c r="H816" s="194"/>
      <c r="I816" s="172"/>
      <c r="J816" s="172"/>
      <c r="K816" s="258"/>
    </row>
    <row r="817" spans="1:11" ht="25.5">
      <c r="A817" s="257" t="s">
        <v>1629</v>
      </c>
      <c r="B817" s="170" t="s">
        <v>740</v>
      </c>
      <c r="C817" s="186" t="s">
        <v>43</v>
      </c>
      <c r="D817" s="186" t="s">
        <v>741</v>
      </c>
      <c r="E817" s="171" t="s">
        <v>36</v>
      </c>
      <c r="F817" s="170">
        <v>1</v>
      </c>
      <c r="G817" s="172"/>
      <c r="H817" s="194"/>
      <c r="I817" s="172"/>
      <c r="J817" s="172"/>
      <c r="K817" s="258"/>
    </row>
    <row r="818" spans="1:11" ht="25.5">
      <c r="A818" s="257" t="s">
        <v>1630</v>
      </c>
      <c r="B818" s="170" t="s">
        <v>1631</v>
      </c>
      <c r="C818" s="186" t="s">
        <v>43</v>
      </c>
      <c r="D818" s="186" t="s">
        <v>1632</v>
      </c>
      <c r="E818" s="171" t="s">
        <v>36</v>
      </c>
      <c r="F818" s="170">
        <v>1</v>
      </c>
      <c r="G818" s="172"/>
      <c r="H818" s="194"/>
      <c r="I818" s="172"/>
      <c r="J818" s="172"/>
      <c r="K818" s="258"/>
    </row>
    <row r="819" spans="1:11" ht="25.5">
      <c r="A819" s="257" t="s">
        <v>1633</v>
      </c>
      <c r="B819" s="170" t="s">
        <v>1634</v>
      </c>
      <c r="C819" s="186" t="s">
        <v>43</v>
      </c>
      <c r="D819" s="186" t="s">
        <v>1635</v>
      </c>
      <c r="E819" s="171" t="s">
        <v>36</v>
      </c>
      <c r="F819" s="170">
        <v>1</v>
      </c>
      <c r="G819" s="172"/>
      <c r="H819" s="194"/>
      <c r="I819" s="172"/>
      <c r="J819" s="172"/>
      <c r="K819" s="258"/>
    </row>
    <row r="820" spans="1:11" ht="25.5">
      <c r="A820" s="257" t="s">
        <v>1636</v>
      </c>
      <c r="B820" s="170" t="s">
        <v>1110</v>
      </c>
      <c r="C820" s="186" t="s">
        <v>43</v>
      </c>
      <c r="D820" s="186" t="s">
        <v>1111</v>
      </c>
      <c r="E820" s="171" t="s">
        <v>36</v>
      </c>
      <c r="F820" s="170">
        <v>1</v>
      </c>
      <c r="G820" s="172"/>
      <c r="H820" s="194"/>
      <c r="I820" s="172"/>
      <c r="J820" s="172"/>
      <c r="K820" s="258"/>
    </row>
    <row r="821" spans="1:11">
      <c r="A821" s="259" t="s">
        <v>1637</v>
      </c>
      <c r="B821" s="187"/>
      <c r="C821" s="187"/>
      <c r="D821" s="187" t="s">
        <v>752</v>
      </c>
      <c r="E821" s="187"/>
      <c r="F821" s="169"/>
      <c r="G821" s="187"/>
      <c r="H821" s="193"/>
      <c r="I821" s="187"/>
      <c r="J821" s="168"/>
      <c r="K821" s="260"/>
    </row>
    <row r="822" spans="1:11" ht="38.25">
      <c r="A822" s="257" t="s">
        <v>1638</v>
      </c>
      <c r="B822" s="170" t="s">
        <v>754</v>
      </c>
      <c r="C822" s="186" t="s">
        <v>43</v>
      </c>
      <c r="D822" s="186" t="s">
        <v>755</v>
      </c>
      <c r="E822" s="171" t="s">
        <v>144</v>
      </c>
      <c r="F822" s="170">
        <v>25.68</v>
      </c>
      <c r="G822" s="172"/>
      <c r="H822" s="194"/>
      <c r="I822" s="172"/>
      <c r="J822" s="172"/>
      <c r="K822" s="258"/>
    </row>
    <row r="823" spans="1:11" ht="38.25">
      <c r="A823" s="257" t="s">
        <v>1639</v>
      </c>
      <c r="B823" s="170" t="s">
        <v>757</v>
      </c>
      <c r="C823" s="186" t="s">
        <v>43</v>
      </c>
      <c r="D823" s="186" t="s">
        <v>758</v>
      </c>
      <c r="E823" s="171" t="s">
        <v>144</v>
      </c>
      <c r="F823" s="170">
        <v>1.81</v>
      </c>
      <c r="G823" s="172"/>
      <c r="H823" s="194"/>
      <c r="I823" s="172"/>
      <c r="J823" s="172"/>
      <c r="K823" s="258"/>
    </row>
    <row r="824" spans="1:11" ht="25.5">
      <c r="A824" s="257" t="s">
        <v>1640</v>
      </c>
      <c r="B824" s="170" t="s">
        <v>832</v>
      </c>
      <c r="C824" s="186" t="s">
        <v>34</v>
      </c>
      <c r="D824" s="186" t="s">
        <v>833</v>
      </c>
      <c r="E824" s="171" t="s">
        <v>31</v>
      </c>
      <c r="F824" s="170">
        <v>1</v>
      </c>
      <c r="G824" s="172"/>
      <c r="H824" s="194"/>
      <c r="I824" s="172"/>
      <c r="J824" s="172"/>
      <c r="K824" s="258"/>
    </row>
    <row r="825" spans="1:11" ht="25.5">
      <c r="A825" s="257" t="s">
        <v>1641</v>
      </c>
      <c r="B825" s="170" t="s">
        <v>823</v>
      </c>
      <c r="C825" s="186" t="s">
        <v>34</v>
      </c>
      <c r="D825" s="186" t="s">
        <v>824</v>
      </c>
      <c r="E825" s="171" t="s">
        <v>31</v>
      </c>
      <c r="F825" s="170">
        <v>1</v>
      </c>
      <c r="G825" s="172"/>
      <c r="H825" s="194"/>
      <c r="I825" s="172"/>
      <c r="J825" s="172"/>
      <c r="K825" s="258"/>
    </row>
    <row r="826" spans="1:11" ht="38.25">
      <c r="A826" s="257" t="s">
        <v>1642</v>
      </c>
      <c r="B826" s="170" t="s">
        <v>769</v>
      </c>
      <c r="C826" s="186" t="s">
        <v>43</v>
      </c>
      <c r="D826" s="186" t="s">
        <v>770</v>
      </c>
      <c r="E826" s="171" t="s">
        <v>36</v>
      </c>
      <c r="F826" s="170">
        <v>4</v>
      </c>
      <c r="G826" s="172"/>
      <c r="H826" s="194"/>
      <c r="I826" s="172"/>
      <c r="J826" s="172"/>
      <c r="K826" s="258"/>
    </row>
    <row r="827" spans="1:11" ht="38.25">
      <c r="A827" s="257" t="s">
        <v>1643</v>
      </c>
      <c r="B827" s="170" t="s">
        <v>811</v>
      </c>
      <c r="C827" s="186" t="s">
        <v>43</v>
      </c>
      <c r="D827" s="186" t="s">
        <v>812</v>
      </c>
      <c r="E827" s="171" t="s">
        <v>36</v>
      </c>
      <c r="F827" s="170">
        <v>9</v>
      </c>
      <c r="G827" s="172"/>
      <c r="H827" s="194"/>
      <c r="I827" s="172"/>
      <c r="J827" s="172"/>
      <c r="K827" s="258"/>
    </row>
    <row r="828" spans="1:11" ht="38.25">
      <c r="A828" s="257" t="s">
        <v>1644</v>
      </c>
      <c r="B828" s="170" t="s">
        <v>1645</v>
      </c>
      <c r="C828" s="186" t="s">
        <v>43</v>
      </c>
      <c r="D828" s="186" t="s">
        <v>1646</v>
      </c>
      <c r="E828" s="171" t="s">
        <v>36</v>
      </c>
      <c r="F828" s="170">
        <v>1</v>
      </c>
      <c r="G828" s="172"/>
      <c r="H828" s="194"/>
      <c r="I828" s="172"/>
      <c r="J828" s="172"/>
      <c r="K828" s="258"/>
    </row>
    <row r="829" spans="1:11" ht="38.25">
      <c r="A829" s="257" t="s">
        <v>1647</v>
      </c>
      <c r="B829" s="170" t="s">
        <v>802</v>
      </c>
      <c r="C829" s="186" t="s">
        <v>43</v>
      </c>
      <c r="D829" s="186" t="s">
        <v>803</v>
      </c>
      <c r="E829" s="171" t="s">
        <v>36</v>
      </c>
      <c r="F829" s="170">
        <v>5</v>
      </c>
      <c r="G829" s="172"/>
      <c r="H829" s="194"/>
      <c r="I829" s="172"/>
      <c r="J829" s="172"/>
      <c r="K829" s="258"/>
    </row>
    <row r="830" spans="1:11" ht="38.25">
      <c r="A830" s="257" t="s">
        <v>1648</v>
      </c>
      <c r="B830" s="170" t="s">
        <v>826</v>
      </c>
      <c r="C830" s="186" t="s">
        <v>34</v>
      </c>
      <c r="D830" s="186" t="s">
        <v>827</v>
      </c>
      <c r="E830" s="171" t="s">
        <v>36</v>
      </c>
      <c r="F830" s="170">
        <v>4</v>
      </c>
      <c r="G830" s="172"/>
      <c r="H830" s="194"/>
      <c r="I830" s="172"/>
      <c r="J830" s="172"/>
      <c r="K830" s="258"/>
    </row>
    <row r="831" spans="1:11">
      <c r="A831" s="259" t="s">
        <v>1649</v>
      </c>
      <c r="B831" s="187"/>
      <c r="C831" s="187"/>
      <c r="D831" s="187" t="s">
        <v>835</v>
      </c>
      <c r="E831" s="187"/>
      <c r="F831" s="169"/>
      <c r="G831" s="187"/>
      <c r="H831" s="193"/>
      <c r="I831" s="187"/>
      <c r="J831" s="168"/>
      <c r="K831" s="260"/>
    </row>
    <row r="832" spans="1:11" ht="25.5">
      <c r="A832" s="257" t="s">
        <v>1650</v>
      </c>
      <c r="B832" s="170" t="s">
        <v>837</v>
      </c>
      <c r="C832" s="186" t="s">
        <v>43</v>
      </c>
      <c r="D832" s="186" t="s">
        <v>838</v>
      </c>
      <c r="E832" s="171" t="s">
        <v>144</v>
      </c>
      <c r="F832" s="170">
        <v>6.5</v>
      </c>
      <c r="G832" s="172"/>
      <c r="H832" s="194"/>
      <c r="I832" s="172"/>
      <c r="J832" s="172"/>
      <c r="K832" s="258"/>
    </row>
    <row r="833" spans="1:11" ht="25.5">
      <c r="A833" s="257" t="s">
        <v>1651</v>
      </c>
      <c r="B833" s="170" t="s">
        <v>840</v>
      </c>
      <c r="C833" s="186" t="s">
        <v>43</v>
      </c>
      <c r="D833" s="186" t="s">
        <v>841</v>
      </c>
      <c r="E833" s="171" t="s">
        <v>144</v>
      </c>
      <c r="F833" s="170">
        <v>0.32</v>
      </c>
      <c r="G833" s="172"/>
      <c r="H833" s="194"/>
      <c r="I833" s="172"/>
      <c r="J833" s="172"/>
      <c r="K833" s="258"/>
    </row>
    <row r="834" spans="1:11" ht="25.5">
      <c r="A834" s="257" t="s">
        <v>1652</v>
      </c>
      <c r="B834" s="170" t="s">
        <v>864</v>
      </c>
      <c r="C834" s="186" t="s">
        <v>34</v>
      </c>
      <c r="D834" s="186" t="s">
        <v>865</v>
      </c>
      <c r="E834" s="171" t="s">
        <v>36</v>
      </c>
      <c r="F834" s="170">
        <v>1</v>
      </c>
      <c r="G834" s="172"/>
      <c r="H834" s="194"/>
      <c r="I834" s="172"/>
      <c r="J834" s="172"/>
      <c r="K834" s="258"/>
    </row>
    <row r="835" spans="1:11" ht="38.25">
      <c r="A835" s="257" t="s">
        <v>1653</v>
      </c>
      <c r="B835" s="170" t="s">
        <v>1157</v>
      </c>
      <c r="C835" s="186" t="s">
        <v>43</v>
      </c>
      <c r="D835" s="186" t="s">
        <v>1158</v>
      </c>
      <c r="E835" s="171" t="s">
        <v>36</v>
      </c>
      <c r="F835" s="170">
        <v>2</v>
      </c>
      <c r="G835" s="172"/>
      <c r="H835" s="194"/>
      <c r="I835" s="172"/>
      <c r="J835" s="172"/>
      <c r="K835" s="258"/>
    </row>
    <row r="836" spans="1:11" ht="38.25">
      <c r="A836" s="257" t="s">
        <v>1654</v>
      </c>
      <c r="B836" s="170" t="s">
        <v>846</v>
      </c>
      <c r="C836" s="186" t="s">
        <v>43</v>
      </c>
      <c r="D836" s="186" t="s">
        <v>847</v>
      </c>
      <c r="E836" s="171" t="s">
        <v>36</v>
      </c>
      <c r="F836" s="170">
        <v>1</v>
      </c>
      <c r="G836" s="172"/>
      <c r="H836" s="194"/>
      <c r="I836" s="172"/>
      <c r="J836" s="172"/>
      <c r="K836" s="258"/>
    </row>
    <row r="837" spans="1:11" ht="25.5">
      <c r="A837" s="257" t="s">
        <v>1655</v>
      </c>
      <c r="B837" s="170" t="s">
        <v>855</v>
      </c>
      <c r="C837" s="186" t="s">
        <v>34</v>
      </c>
      <c r="D837" s="186" t="s">
        <v>856</v>
      </c>
      <c r="E837" s="171" t="s">
        <v>36</v>
      </c>
      <c r="F837" s="170">
        <v>1</v>
      </c>
      <c r="G837" s="172"/>
      <c r="H837" s="194"/>
      <c r="I837" s="172"/>
      <c r="J837" s="172"/>
      <c r="K837" s="258"/>
    </row>
    <row r="838" spans="1:11" ht="25.5">
      <c r="A838" s="257" t="s">
        <v>1656</v>
      </c>
      <c r="B838" s="170" t="s">
        <v>1657</v>
      </c>
      <c r="C838" s="186" t="s">
        <v>43</v>
      </c>
      <c r="D838" s="186" t="s">
        <v>1658</v>
      </c>
      <c r="E838" s="171" t="s">
        <v>144</v>
      </c>
      <c r="F838" s="170">
        <v>0.5</v>
      </c>
      <c r="G838" s="172"/>
      <c r="H838" s="194"/>
      <c r="I838" s="172"/>
      <c r="J838" s="172"/>
      <c r="K838" s="258"/>
    </row>
    <row r="839" spans="1:11">
      <c r="A839" s="259" t="s">
        <v>1659</v>
      </c>
      <c r="B839" s="187"/>
      <c r="C839" s="187"/>
      <c r="D839" s="187" t="s">
        <v>876</v>
      </c>
      <c r="E839" s="187"/>
      <c r="F839" s="169"/>
      <c r="G839" s="187"/>
      <c r="H839" s="193"/>
      <c r="I839" s="187"/>
      <c r="J839" s="168"/>
      <c r="K839" s="260"/>
    </row>
    <row r="840" spans="1:11" ht="25.5">
      <c r="A840" s="257" t="s">
        <v>1660</v>
      </c>
      <c r="B840" s="170" t="s">
        <v>1661</v>
      </c>
      <c r="C840" s="186" t="s">
        <v>43</v>
      </c>
      <c r="D840" s="186" t="s">
        <v>1662</v>
      </c>
      <c r="E840" s="171" t="s">
        <v>36</v>
      </c>
      <c r="F840" s="170">
        <v>1</v>
      </c>
      <c r="G840" s="172"/>
      <c r="H840" s="194"/>
      <c r="I840" s="172"/>
      <c r="J840" s="172"/>
      <c r="K840" s="258"/>
    </row>
    <row r="841" spans="1:11" ht="38.25">
      <c r="A841" s="257" t="s">
        <v>1663</v>
      </c>
      <c r="B841" s="170" t="s">
        <v>896</v>
      </c>
      <c r="C841" s="186" t="s">
        <v>43</v>
      </c>
      <c r="D841" s="186" t="s">
        <v>897</v>
      </c>
      <c r="E841" s="171" t="s">
        <v>144</v>
      </c>
      <c r="F841" s="170">
        <v>6</v>
      </c>
      <c r="G841" s="172"/>
      <c r="H841" s="194"/>
      <c r="I841" s="172"/>
      <c r="J841" s="172"/>
      <c r="K841" s="258"/>
    </row>
    <row r="842" spans="1:11" ht="38.25">
      <c r="A842" s="257" t="s">
        <v>1664</v>
      </c>
      <c r="B842" s="170" t="s">
        <v>899</v>
      </c>
      <c r="C842" s="186" t="s">
        <v>43</v>
      </c>
      <c r="D842" s="186" t="s">
        <v>900</v>
      </c>
      <c r="E842" s="171" t="s">
        <v>144</v>
      </c>
      <c r="F842" s="170">
        <v>6</v>
      </c>
      <c r="G842" s="172"/>
      <c r="H842" s="194"/>
      <c r="I842" s="172"/>
      <c r="J842" s="172"/>
      <c r="K842" s="258"/>
    </row>
    <row r="843" spans="1:11" ht="38.25">
      <c r="A843" s="257" t="s">
        <v>1665</v>
      </c>
      <c r="B843" s="170" t="s">
        <v>1666</v>
      </c>
      <c r="C843" s="186" t="s">
        <v>34</v>
      </c>
      <c r="D843" s="186" t="s">
        <v>1667</v>
      </c>
      <c r="E843" s="171" t="s">
        <v>36</v>
      </c>
      <c r="F843" s="170">
        <v>1</v>
      </c>
      <c r="G843" s="172"/>
      <c r="H843" s="194"/>
      <c r="I843" s="172"/>
      <c r="J843" s="172"/>
      <c r="K843" s="258"/>
    </row>
    <row r="844" spans="1:11" ht="25.5">
      <c r="A844" s="257" t="s">
        <v>1668</v>
      </c>
      <c r="B844" s="170" t="s">
        <v>936</v>
      </c>
      <c r="C844" s="186" t="s">
        <v>34</v>
      </c>
      <c r="D844" s="186" t="s">
        <v>937</v>
      </c>
      <c r="E844" s="171" t="s">
        <v>36</v>
      </c>
      <c r="F844" s="170">
        <v>4</v>
      </c>
      <c r="G844" s="172"/>
      <c r="H844" s="194"/>
      <c r="I844" s="172"/>
      <c r="J844" s="172"/>
      <c r="K844" s="258"/>
    </row>
    <row r="845" spans="1:11">
      <c r="A845" s="257" t="s">
        <v>1669</v>
      </c>
      <c r="B845" s="170" t="s">
        <v>1201</v>
      </c>
      <c r="C845" s="186" t="s">
        <v>34</v>
      </c>
      <c r="D845" s="186" t="s">
        <v>1202</v>
      </c>
      <c r="E845" s="171" t="s">
        <v>80</v>
      </c>
      <c r="F845" s="170">
        <v>1</v>
      </c>
      <c r="G845" s="172"/>
      <c r="H845" s="194"/>
      <c r="I845" s="172"/>
      <c r="J845" s="172"/>
      <c r="K845" s="258"/>
    </row>
    <row r="846" spans="1:11">
      <c r="A846" s="257" t="s">
        <v>1670</v>
      </c>
      <c r="B846" s="170" t="s">
        <v>944</v>
      </c>
      <c r="C846" s="186" t="s">
        <v>34</v>
      </c>
      <c r="D846" s="186" t="s">
        <v>945</v>
      </c>
      <c r="E846" s="171" t="s">
        <v>80</v>
      </c>
      <c r="F846" s="170">
        <v>1</v>
      </c>
      <c r="G846" s="172"/>
      <c r="H846" s="194"/>
      <c r="I846" s="172"/>
      <c r="J846" s="172"/>
      <c r="K846" s="258"/>
    </row>
    <row r="847" spans="1:11" ht="38.25">
      <c r="A847" s="257" t="s">
        <v>1671</v>
      </c>
      <c r="B847" s="170" t="s">
        <v>926</v>
      </c>
      <c r="C847" s="186" t="s">
        <v>43</v>
      </c>
      <c r="D847" s="186" t="s">
        <v>927</v>
      </c>
      <c r="E847" s="171" t="s">
        <v>144</v>
      </c>
      <c r="F847" s="170">
        <v>24</v>
      </c>
      <c r="G847" s="172"/>
      <c r="H847" s="194"/>
      <c r="I847" s="172"/>
      <c r="J847" s="172"/>
      <c r="K847" s="258"/>
    </row>
    <row r="848" spans="1:11">
      <c r="A848" s="259" t="s">
        <v>1672</v>
      </c>
      <c r="B848" s="187"/>
      <c r="C848" s="187"/>
      <c r="D848" s="187" t="s">
        <v>20</v>
      </c>
      <c r="E848" s="187"/>
      <c r="F848" s="169"/>
      <c r="G848" s="187"/>
      <c r="H848" s="193"/>
      <c r="I848" s="187"/>
      <c r="J848" s="168"/>
      <c r="K848" s="260"/>
    </row>
    <row r="849" spans="1:11">
      <c r="A849" s="259" t="s">
        <v>1673</v>
      </c>
      <c r="B849" s="187"/>
      <c r="C849" s="187"/>
      <c r="D849" s="187" t="s">
        <v>76</v>
      </c>
      <c r="E849" s="187"/>
      <c r="F849" s="169"/>
      <c r="G849" s="187"/>
      <c r="H849" s="193"/>
      <c r="I849" s="187"/>
      <c r="J849" s="168"/>
      <c r="K849" s="260"/>
    </row>
    <row r="850" spans="1:11" ht="51">
      <c r="A850" s="257" t="s">
        <v>1674</v>
      </c>
      <c r="B850" s="170" t="s">
        <v>100</v>
      </c>
      <c r="C850" s="186" t="s">
        <v>43</v>
      </c>
      <c r="D850" s="186" t="s">
        <v>101</v>
      </c>
      <c r="E850" s="171" t="s">
        <v>45</v>
      </c>
      <c r="F850" s="170">
        <v>275.10000000000002</v>
      </c>
      <c r="G850" s="172"/>
      <c r="H850" s="194"/>
      <c r="I850" s="172"/>
      <c r="J850" s="172"/>
      <c r="K850" s="258"/>
    </row>
    <row r="851" spans="1:11" ht="38.25">
      <c r="A851" s="257" t="s">
        <v>1675</v>
      </c>
      <c r="B851" s="170" t="s">
        <v>78</v>
      </c>
      <c r="C851" s="186" t="s">
        <v>43</v>
      </c>
      <c r="D851" s="186" t="s">
        <v>79</v>
      </c>
      <c r="E851" s="171" t="s">
        <v>80</v>
      </c>
      <c r="F851" s="170">
        <v>723.82</v>
      </c>
      <c r="G851" s="172"/>
      <c r="H851" s="194"/>
      <c r="I851" s="172"/>
      <c r="J851" s="172"/>
      <c r="K851" s="258"/>
    </row>
    <row r="852" spans="1:11" ht="38.25">
      <c r="A852" s="257" t="s">
        <v>1676</v>
      </c>
      <c r="B852" s="170" t="s">
        <v>88</v>
      </c>
      <c r="C852" s="186" t="s">
        <v>43</v>
      </c>
      <c r="D852" s="186" t="s">
        <v>89</v>
      </c>
      <c r="E852" s="171" t="s">
        <v>80</v>
      </c>
      <c r="F852" s="170">
        <v>843.28</v>
      </c>
      <c r="G852" s="172"/>
      <c r="H852" s="194"/>
      <c r="I852" s="172"/>
      <c r="J852" s="172"/>
      <c r="K852" s="258"/>
    </row>
    <row r="853" spans="1:11" ht="38.25">
      <c r="A853" s="257" t="s">
        <v>1677</v>
      </c>
      <c r="B853" s="170" t="s">
        <v>91</v>
      </c>
      <c r="C853" s="186" t="s">
        <v>43</v>
      </c>
      <c r="D853" s="186" t="s">
        <v>92</v>
      </c>
      <c r="E853" s="171" t="s">
        <v>80</v>
      </c>
      <c r="F853" s="170">
        <v>1300.3699999999999</v>
      </c>
      <c r="G853" s="172"/>
      <c r="H853" s="194"/>
      <c r="I853" s="172"/>
      <c r="J853" s="172"/>
      <c r="K853" s="258"/>
    </row>
    <row r="854" spans="1:11" ht="38.25">
      <c r="A854" s="257" t="s">
        <v>1678</v>
      </c>
      <c r="B854" s="170" t="s">
        <v>1679</v>
      </c>
      <c r="C854" s="186" t="s">
        <v>43</v>
      </c>
      <c r="D854" s="186" t="s">
        <v>1680</v>
      </c>
      <c r="E854" s="171" t="s">
        <v>80</v>
      </c>
      <c r="F854" s="170">
        <v>0.18</v>
      </c>
      <c r="G854" s="172"/>
      <c r="H854" s="194"/>
      <c r="I854" s="172"/>
      <c r="J854" s="172"/>
      <c r="K854" s="258"/>
    </row>
    <row r="855" spans="1:11" ht="38.25">
      <c r="A855" s="257" t="s">
        <v>1681</v>
      </c>
      <c r="B855" s="170" t="s">
        <v>103</v>
      </c>
      <c r="C855" s="186" t="s">
        <v>43</v>
      </c>
      <c r="D855" s="186" t="s">
        <v>104</v>
      </c>
      <c r="E855" s="171" t="s">
        <v>45</v>
      </c>
      <c r="F855" s="170">
        <v>374.5</v>
      </c>
      <c r="G855" s="172"/>
      <c r="H855" s="194"/>
      <c r="I855" s="172"/>
      <c r="J855" s="172"/>
      <c r="K855" s="258"/>
    </row>
    <row r="856" spans="1:11" ht="38.25">
      <c r="A856" s="257" t="s">
        <v>1682</v>
      </c>
      <c r="B856" s="170" t="s">
        <v>82</v>
      </c>
      <c r="C856" s="186" t="s">
        <v>43</v>
      </c>
      <c r="D856" s="186" t="s">
        <v>83</v>
      </c>
      <c r="E856" s="171" t="s">
        <v>80</v>
      </c>
      <c r="F856" s="170">
        <v>3.73</v>
      </c>
      <c r="G856" s="172"/>
      <c r="H856" s="194"/>
      <c r="I856" s="172"/>
      <c r="J856" s="172"/>
      <c r="K856" s="258"/>
    </row>
    <row r="857" spans="1:11" ht="38.25">
      <c r="A857" s="257" t="s">
        <v>1683</v>
      </c>
      <c r="B857" s="170" t="s">
        <v>85</v>
      </c>
      <c r="C857" s="186" t="s">
        <v>43</v>
      </c>
      <c r="D857" s="186" t="s">
        <v>86</v>
      </c>
      <c r="E857" s="171" t="s">
        <v>80</v>
      </c>
      <c r="F857" s="170">
        <v>230.36</v>
      </c>
      <c r="G857" s="172"/>
      <c r="H857" s="194"/>
      <c r="I857" s="172"/>
      <c r="J857" s="172"/>
      <c r="K857" s="258"/>
    </row>
    <row r="858" spans="1:11" ht="38.25">
      <c r="A858" s="257" t="s">
        <v>1684</v>
      </c>
      <c r="B858" s="170" t="s">
        <v>1685</v>
      </c>
      <c r="C858" s="186" t="s">
        <v>43</v>
      </c>
      <c r="D858" s="186" t="s">
        <v>1686</v>
      </c>
      <c r="E858" s="171" t="s">
        <v>80</v>
      </c>
      <c r="F858" s="170">
        <v>14.09</v>
      </c>
      <c r="G858" s="172"/>
      <c r="H858" s="194"/>
      <c r="I858" s="172"/>
      <c r="J858" s="172"/>
      <c r="K858" s="258"/>
    </row>
    <row r="859" spans="1:11" ht="38.25">
      <c r="A859" s="257" t="s">
        <v>1687</v>
      </c>
      <c r="B859" s="170" t="s">
        <v>1688</v>
      </c>
      <c r="C859" s="186" t="s">
        <v>43</v>
      </c>
      <c r="D859" s="186" t="s">
        <v>1689</v>
      </c>
      <c r="E859" s="171" t="s">
        <v>80</v>
      </c>
      <c r="F859" s="170">
        <v>6.55</v>
      </c>
      <c r="G859" s="172"/>
      <c r="H859" s="194"/>
      <c r="I859" s="172"/>
      <c r="J859" s="172"/>
      <c r="K859" s="258"/>
    </row>
    <row r="860" spans="1:11" ht="38.25">
      <c r="A860" s="257" t="s">
        <v>1690</v>
      </c>
      <c r="B860" s="170" t="s">
        <v>1691</v>
      </c>
      <c r="C860" s="186" t="s">
        <v>43</v>
      </c>
      <c r="D860" s="186" t="s">
        <v>1692</v>
      </c>
      <c r="E860" s="171" t="s">
        <v>80</v>
      </c>
      <c r="F860" s="170">
        <v>188.37</v>
      </c>
      <c r="G860" s="172"/>
      <c r="H860" s="194"/>
      <c r="I860" s="172"/>
      <c r="J860" s="172"/>
      <c r="K860" s="258"/>
    </row>
    <row r="861" spans="1:11" ht="38.25">
      <c r="A861" s="257" t="s">
        <v>1693</v>
      </c>
      <c r="B861" s="170" t="s">
        <v>124</v>
      </c>
      <c r="C861" s="186" t="s">
        <v>34</v>
      </c>
      <c r="D861" s="186" t="s">
        <v>125</v>
      </c>
      <c r="E861" s="171" t="s">
        <v>126</v>
      </c>
      <c r="F861" s="170">
        <v>154.11000000000001</v>
      </c>
      <c r="G861" s="172"/>
      <c r="H861" s="194"/>
      <c r="I861" s="172"/>
      <c r="J861" s="172"/>
      <c r="K861" s="258"/>
    </row>
    <row r="862" spans="1:11" ht="38.25">
      <c r="A862" s="257" t="s">
        <v>1694</v>
      </c>
      <c r="B862" s="170" t="s">
        <v>1695</v>
      </c>
      <c r="C862" s="186" t="s">
        <v>43</v>
      </c>
      <c r="D862" s="186" t="s">
        <v>1696</v>
      </c>
      <c r="E862" s="171" t="s">
        <v>45</v>
      </c>
      <c r="F862" s="170">
        <v>15.9</v>
      </c>
      <c r="G862" s="172"/>
      <c r="H862" s="194"/>
      <c r="I862" s="172"/>
      <c r="J862" s="172"/>
      <c r="K862" s="258"/>
    </row>
    <row r="863" spans="1:11" ht="38.25">
      <c r="A863" s="257" t="s">
        <v>1697</v>
      </c>
      <c r="B863" s="170" t="s">
        <v>1698</v>
      </c>
      <c r="C863" s="186" t="s">
        <v>43</v>
      </c>
      <c r="D863" s="186" t="s">
        <v>1699</v>
      </c>
      <c r="E863" s="171" t="s">
        <v>45</v>
      </c>
      <c r="F863" s="170">
        <v>140.80000000000001</v>
      </c>
      <c r="G863" s="172"/>
      <c r="H863" s="194"/>
      <c r="I863" s="172"/>
      <c r="J863" s="172"/>
      <c r="K863" s="258"/>
    </row>
    <row r="864" spans="1:11">
      <c r="A864" s="257" t="s">
        <v>1700</v>
      </c>
      <c r="B864" s="170" t="s">
        <v>1701</v>
      </c>
      <c r="C864" s="186" t="s">
        <v>43</v>
      </c>
      <c r="D864" s="186" t="s">
        <v>1702</v>
      </c>
      <c r="E864" s="171" t="s">
        <v>126</v>
      </c>
      <c r="F864" s="170">
        <v>115.54</v>
      </c>
      <c r="G864" s="172"/>
      <c r="H864" s="194"/>
      <c r="I864" s="172"/>
      <c r="J864" s="172"/>
      <c r="K864" s="258"/>
    </row>
    <row r="865" spans="1:11" ht="25.5">
      <c r="A865" s="257" t="s">
        <v>1703</v>
      </c>
      <c r="B865" s="170" t="s">
        <v>106</v>
      </c>
      <c r="C865" s="186" t="s">
        <v>43</v>
      </c>
      <c r="D865" s="186" t="s">
        <v>107</v>
      </c>
      <c r="E865" s="171" t="s">
        <v>80</v>
      </c>
      <c r="F865" s="170">
        <v>4074.04</v>
      </c>
      <c r="G865" s="172"/>
      <c r="H865" s="194"/>
      <c r="I865" s="172"/>
      <c r="J865" s="172"/>
      <c r="K865" s="258"/>
    </row>
    <row r="866" spans="1:11" ht="25.5">
      <c r="A866" s="257" t="s">
        <v>1704</v>
      </c>
      <c r="B866" s="170" t="s">
        <v>1705</v>
      </c>
      <c r="C866" s="186" t="s">
        <v>43</v>
      </c>
      <c r="D866" s="186" t="s">
        <v>1706</v>
      </c>
      <c r="E866" s="171" t="s">
        <v>144</v>
      </c>
      <c r="F866" s="170">
        <v>185.6</v>
      </c>
      <c r="G866" s="172"/>
      <c r="H866" s="194"/>
      <c r="I866" s="172"/>
      <c r="J866" s="172"/>
      <c r="K866" s="258"/>
    </row>
    <row r="867" spans="1:11" ht="26.45" customHeight="1">
      <c r="A867" s="257" t="s">
        <v>1707</v>
      </c>
      <c r="B867" s="170" t="s">
        <v>118</v>
      </c>
      <c r="C867" s="186" t="s">
        <v>43</v>
      </c>
      <c r="D867" s="186" t="s">
        <v>119</v>
      </c>
      <c r="E867" s="171" t="s">
        <v>80</v>
      </c>
      <c r="F867" s="170">
        <v>214</v>
      </c>
      <c r="G867" s="172"/>
      <c r="H867" s="194"/>
      <c r="I867" s="172"/>
      <c r="J867" s="172"/>
      <c r="K867" s="258"/>
    </row>
    <row r="868" spans="1:11" ht="25.5">
      <c r="A868" s="257" t="s">
        <v>1708</v>
      </c>
      <c r="B868" s="170" t="s">
        <v>109</v>
      </c>
      <c r="C868" s="186" t="s">
        <v>43</v>
      </c>
      <c r="D868" s="186" t="s">
        <v>110</v>
      </c>
      <c r="E868" s="171" t="s">
        <v>80</v>
      </c>
      <c r="F868" s="170">
        <v>430.64</v>
      </c>
      <c r="G868" s="172"/>
      <c r="H868" s="194"/>
      <c r="I868" s="172"/>
      <c r="J868" s="172"/>
      <c r="K868" s="258"/>
    </row>
    <row r="869" spans="1:11" ht="39.6" customHeight="1">
      <c r="A869" s="257" t="s">
        <v>1709</v>
      </c>
      <c r="B869" s="170" t="s">
        <v>112</v>
      </c>
      <c r="C869" s="186" t="s">
        <v>43</v>
      </c>
      <c r="D869" s="186" t="s">
        <v>113</v>
      </c>
      <c r="E869" s="171" t="s">
        <v>80</v>
      </c>
      <c r="F869" s="170">
        <v>94.73</v>
      </c>
      <c r="G869" s="172"/>
      <c r="H869" s="194"/>
      <c r="I869" s="172"/>
      <c r="J869" s="172"/>
      <c r="K869" s="258"/>
    </row>
    <row r="870" spans="1:11">
      <c r="A870" s="259" t="s">
        <v>1710</v>
      </c>
      <c r="B870" s="187"/>
      <c r="C870" s="187"/>
      <c r="D870" s="187" t="s">
        <v>134</v>
      </c>
      <c r="E870" s="187"/>
      <c r="F870" s="169"/>
      <c r="G870" s="187"/>
      <c r="H870" s="193"/>
      <c r="I870" s="187"/>
      <c r="J870" s="168"/>
      <c r="K870" s="260"/>
    </row>
    <row r="871" spans="1:11" ht="38.25">
      <c r="A871" s="257" t="s">
        <v>1711</v>
      </c>
      <c r="B871" s="170" t="s">
        <v>976</v>
      </c>
      <c r="C871" s="186" t="s">
        <v>43</v>
      </c>
      <c r="D871" s="186" t="s">
        <v>977</v>
      </c>
      <c r="E871" s="171" t="s">
        <v>45</v>
      </c>
      <c r="F871" s="170">
        <v>1209.17</v>
      </c>
      <c r="G871" s="172"/>
      <c r="H871" s="194"/>
      <c r="I871" s="172"/>
      <c r="J871" s="172"/>
      <c r="K871" s="258"/>
    </row>
    <row r="872" spans="1:11" ht="38.25">
      <c r="A872" s="257" t="s">
        <v>1712</v>
      </c>
      <c r="B872" s="170" t="s">
        <v>1713</v>
      </c>
      <c r="C872" s="186" t="s">
        <v>43</v>
      </c>
      <c r="D872" s="186" t="s">
        <v>1714</v>
      </c>
      <c r="E872" s="171" t="s">
        <v>45</v>
      </c>
      <c r="F872" s="170">
        <v>20.82</v>
      </c>
      <c r="G872" s="172"/>
      <c r="H872" s="194"/>
      <c r="I872" s="172"/>
      <c r="J872" s="172"/>
      <c r="K872" s="258"/>
    </row>
    <row r="873" spans="1:11" ht="25.5">
      <c r="A873" s="257" t="s">
        <v>1715</v>
      </c>
      <c r="B873" s="170" t="s">
        <v>142</v>
      </c>
      <c r="C873" s="186" t="s">
        <v>43</v>
      </c>
      <c r="D873" s="186" t="s">
        <v>143</v>
      </c>
      <c r="E873" s="171" t="s">
        <v>144</v>
      </c>
      <c r="F873" s="170">
        <v>11.98</v>
      </c>
      <c r="G873" s="172"/>
      <c r="H873" s="194"/>
      <c r="I873" s="172"/>
      <c r="J873" s="172"/>
      <c r="K873" s="258"/>
    </row>
    <row r="874" spans="1:11" ht="25.5">
      <c r="A874" s="257" t="s">
        <v>1716</v>
      </c>
      <c r="B874" s="170" t="s">
        <v>146</v>
      </c>
      <c r="C874" s="186" t="s">
        <v>43</v>
      </c>
      <c r="D874" s="186" t="s">
        <v>147</v>
      </c>
      <c r="E874" s="171" t="s">
        <v>144</v>
      </c>
      <c r="F874" s="170">
        <v>28.85</v>
      </c>
      <c r="G874" s="172"/>
      <c r="H874" s="194"/>
      <c r="I874" s="172"/>
      <c r="J874" s="172"/>
      <c r="K874" s="258"/>
    </row>
    <row r="875" spans="1:11">
      <c r="A875" s="257" t="s">
        <v>1717</v>
      </c>
      <c r="B875" s="170" t="s">
        <v>149</v>
      </c>
      <c r="C875" s="186" t="s">
        <v>43</v>
      </c>
      <c r="D875" s="186" t="s">
        <v>150</v>
      </c>
      <c r="E875" s="171" t="s">
        <v>144</v>
      </c>
      <c r="F875" s="170">
        <v>3.58</v>
      </c>
      <c r="G875" s="172"/>
      <c r="H875" s="194"/>
      <c r="I875" s="172"/>
      <c r="J875" s="172"/>
      <c r="K875" s="258"/>
    </row>
    <row r="876" spans="1:11">
      <c r="A876" s="257" t="s">
        <v>1718</v>
      </c>
      <c r="B876" s="170" t="s">
        <v>152</v>
      </c>
      <c r="C876" s="186" t="s">
        <v>43</v>
      </c>
      <c r="D876" s="186" t="s">
        <v>153</v>
      </c>
      <c r="E876" s="171" t="s">
        <v>144</v>
      </c>
      <c r="F876" s="170">
        <v>28.85</v>
      </c>
      <c r="G876" s="172"/>
      <c r="H876" s="194"/>
      <c r="I876" s="172"/>
      <c r="J876" s="172"/>
      <c r="K876" s="258"/>
    </row>
    <row r="877" spans="1:11" ht="38.25">
      <c r="A877" s="257" t="s">
        <v>1719</v>
      </c>
      <c r="B877" s="170" t="s">
        <v>1720</v>
      </c>
      <c r="C877" s="186" t="s">
        <v>43</v>
      </c>
      <c r="D877" s="186" t="s">
        <v>1721</v>
      </c>
      <c r="E877" s="171" t="s">
        <v>126</v>
      </c>
      <c r="F877" s="170">
        <v>21.81</v>
      </c>
      <c r="G877" s="172"/>
      <c r="H877" s="194"/>
      <c r="I877" s="172"/>
      <c r="J877" s="172"/>
      <c r="K877" s="258"/>
    </row>
    <row r="878" spans="1:11">
      <c r="A878" s="259" t="s">
        <v>1722</v>
      </c>
      <c r="B878" s="187"/>
      <c r="C878" s="187"/>
      <c r="D878" s="187" t="s">
        <v>158</v>
      </c>
      <c r="E878" s="187"/>
      <c r="F878" s="169"/>
      <c r="G878" s="187"/>
      <c r="H878" s="193"/>
      <c r="I878" s="187"/>
      <c r="J878" s="168"/>
      <c r="K878" s="260"/>
    </row>
    <row r="879" spans="1:11" ht="25.5">
      <c r="A879" s="257" t="s">
        <v>1723</v>
      </c>
      <c r="B879" s="170" t="s">
        <v>184</v>
      </c>
      <c r="C879" s="186" t="s">
        <v>43</v>
      </c>
      <c r="D879" s="186" t="s">
        <v>185</v>
      </c>
      <c r="E879" s="171" t="s">
        <v>45</v>
      </c>
      <c r="F879" s="170">
        <v>898.6</v>
      </c>
      <c r="G879" s="172"/>
      <c r="H879" s="194"/>
      <c r="I879" s="172"/>
      <c r="J879" s="172"/>
      <c r="K879" s="258"/>
    </row>
    <row r="880" spans="1:11" ht="38.25">
      <c r="A880" s="257" t="s">
        <v>1724</v>
      </c>
      <c r="B880" s="170" t="s">
        <v>166</v>
      </c>
      <c r="C880" s="186" t="s">
        <v>43</v>
      </c>
      <c r="D880" s="186" t="s">
        <v>167</v>
      </c>
      <c r="E880" s="171" t="s">
        <v>144</v>
      </c>
      <c r="F880" s="170">
        <v>82.5</v>
      </c>
      <c r="G880" s="172"/>
      <c r="H880" s="194"/>
      <c r="I880" s="172"/>
      <c r="J880" s="172"/>
      <c r="K880" s="258"/>
    </row>
    <row r="881" spans="1:11" ht="25.5">
      <c r="A881" s="257" t="s">
        <v>1725</v>
      </c>
      <c r="B881" s="170" t="s">
        <v>1726</v>
      </c>
      <c r="C881" s="186" t="s">
        <v>34</v>
      </c>
      <c r="D881" s="186" t="s">
        <v>1727</v>
      </c>
      <c r="E881" s="171" t="s">
        <v>80</v>
      </c>
      <c r="F881" s="170">
        <v>16210</v>
      </c>
      <c r="G881" s="172"/>
      <c r="H881" s="194"/>
      <c r="I881" s="172"/>
      <c r="J881" s="172"/>
      <c r="K881" s="258"/>
    </row>
    <row r="882" spans="1:11">
      <c r="A882" s="259" t="s">
        <v>1728</v>
      </c>
      <c r="B882" s="187"/>
      <c r="C882" s="187"/>
      <c r="D882" s="187" t="s">
        <v>190</v>
      </c>
      <c r="E882" s="187"/>
      <c r="F882" s="169"/>
      <c r="G882" s="187"/>
      <c r="H882" s="193"/>
      <c r="I882" s="187"/>
      <c r="J882" s="168"/>
      <c r="K882" s="260"/>
    </row>
    <row r="883" spans="1:11" ht="25.5">
      <c r="A883" s="257" t="s">
        <v>1729</v>
      </c>
      <c r="B883" s="170" t="s">
        <v>201</v>
      </c>
      <c r="C883" s="186" t="s">
        <v>43</v>
      </c>
      <c r="D883" s="186" t="s">
        <v>202</v>
      </c>
      <c r="E883" s="171" t="s">
        <v>45</v>
      </c>
      <c r="F883" s="170">
        <v>434.27</v>
      </c>
      <c r="G883" s="172"/>
      <c r="H883" s="194"/>
      <c r="I883" s="172"/>
      <c r="J883" s="172"/>
      <c r="K883" s="258"/>
    </row>
    <row r="884" spans="1:11" ht="38.25">
      <c r="A884" s="257" t="s">
        <v>1730</v>
      </c>
      <c r="B884" s="170" t="s">
        <v>195</v>
      </c>
      <c r="C884" s="186" t="s">
        <v>43</v>
      </c>
      <c r="D884" s="186" t="s">
        <v>196</v>
      </c>
      <c r="E884" s="171" t="s">
        <v>45</v>
      </c>
      <c r="F884" s="170">
        <v>93.74</v>
      </c>
      <c r="G884" s="172"/>
      <c r="H884" s="194"/>
      <c r="I884" s="172"/>
      <c r="J884" s="172"/>
      <c r="K884" s="258"/>
    </row>
    <row r="885" spans="1:11">
      <c r="A885" s="259" t="s">
        <v>1731</v>
      </c>
      <c r="B885" s="187"/>
      <c r="C885" s="187"/>
      <c r="D885" s="187" t="s">
        <v>204</v>
      </c>
      <c r="E885" s="187"/>
      <c r="F885" s="169"/>
      <c r="G885" s="187"/>
      <c r="H885" s="193"/>
      <c r="I885" s="187"/>
      <c r="J885" s="168"/>
      <c r="K885" s="260"/>
    </row>
    <row r="886" spans="1:11" ht="38.25">
      <c r="A886" s="257" t="s">
        <v>1732</v>
      </c>
      <c r="B886" s="170" t="s">
        <v>206</v>
      </c>
      <c r="C886" s="186" t="s">
        <v>43</v>
      </c>
      <c r="D886" s="186" t="s">
        <v>207</v>
      </c>
      <c r="E886" s="171" t="s">
        <v>45</v>
      </c>
      <c r="F886" s="170">
        <v>985.03</v>
      </c>
      <c r="G886" s="172"/>
      <c r="H886" s="194"/>
      <c r="I886" s="172"/>
      <c r="J886" s="172"/>
      <c r="K886" s="258"/>
    </row>
    <row r="887" spans="1:11" ht="25.5">
      <c r="A887" s="257" t="s">
        <v>1733</v>
      </c>
      <c r="B887" s="170" t="s">
        <v>209</v>
      </c>
      <c r="C887" s="186" t="s">
        <v>43</v>
      </c>
      <c r="D887" s="186" t="s">
        <v>210</v>
      </c>
      <c r="E887" s="171" t="s">
        <v>45</v>
      </c>
      <c r="F887" s="170">
        <v>985.03</v>
      </c>
      <c r="G887" s="172"/>
      <c r="H887" s="194"/>
      <c r="I887" s="172"/>
      <c r="J887" s="172"/>
      <c r="K887" s="258"/>
    </row>
    <row r="888" spans="1:11" ht="25.5">
      <c r="A888" s="257" t="s">
        <v>1734</v>
      </c>
      <c r="B888" s="170" t="s">
        <v>212</v>
      </c>
      <c r="C888" s="186" t="s">
        <v>43</v>
      </c>
      <c r="D888" s="186" t="s">
        <v>213</v>
      </c>
      <c r="E888" s="171" t="s">
        <v>45</v>
      </c>
      <c r="F888" s="170">
        <v>1120.47</v>
      </c>
      <c r="G888" s="172"/>
      <c r="H888" s="194"/>
      <c r="I888" s="172"/>
      <c r="J888" s="172"/>
      <c r="K888" s="258"/>
    </row>
    <row r="889" spans="1:11" ht="51">
      <c r="A889" s="257" t="s">
        <v>1735</v>
      </c>
      <c r="B889" s="170" t="s">
        <v>218</v>
      </c>
      <c r="C889" s="186" t="s">
        <v>43</v>
      </c>
      <c r="D889" s="186" t="s">
        <v>219</v>
      </c>
      <c r="E889" s="171" t="s">
        <v>45</v>
      </c>
      <c r="F889" s="170">
        <v>380.74</v>
      </c>
      <c r="G889" s="172"/>
      <c r="H889" s="194"/>
      <c r="I889" s="172"/>
      <c r="J889" s="172"/>
      <c r="K889" s="258"/>
    </row>
    <row r="890" spans="1:11" ht="25.5">
      <c r="A890" s="257" t="s">
        <v>1736</v>
      </c>
      <c r="B890" s="170" t="s">
        <v>1737</v>
      </c>
      <c r="C890" s="186" t="s">
        <v>43</v>
      </c>
      <c r="D890" s="186" t="s">
        <v>1738</v>
      </c>
      <c r="E890" s="171" t="s">
        <v>45</v>
      </c>
      <c r="F890" s="170">
        <v>862.2</v>
      </c>
      <c r="G890" s="172"/>
      <c r="H890" s="194"/>
      <c r="I890" s="172"/>
      <c r="J890" s="172"/>
      <c r="K890" s="258"/>
    </row>
    <row r="891" spans="1:11" ht="63.75">
      <c r="A891" s="257" t="s">
        <v>1739</v>
      </c>
      <c r="B891" s="170" t="s">
        <v>230</v>
      </c>
      <c r="C891" s="186" t="s">
        <v>43</v>
      </c>
      <c r="D891" s="186" t="s">
        <v>231</v>
      </c>
      <c r="E891" s="171" t="s">
        <v>45</v>
      </c>
      <c r="F891" s="170">
        <v>144.82</v>
      </c>
      <c r="G891" s="172"/>
      <c r="H891" s="194"/>
      <c r="I891" s="172"/>
      <c r="J891" s="172"/>
      <c r="K891" s="258"/>
    </row>
    <row r="892" spans="1:11" ht="38.25">
      <c r="A892" s="257" t="s">
        <v>1740</v>
      </c>
      <c r="B892" s="170" t="s">
        <v>227</v>
      </c>
      <c r="C892" s="186" t="s">
        <v>43</v>
      </c>
      <c r="D892" s="186" t="s">
        <v>228</v>
      </c>
      <c r="E892" s="171" t="s">
        <v>45</v>
      </c>
      <c r="F892" s="170">
        <v>100.48</v>
      </c>
      <c r="G892" s="172"/>
      <c r="H892" s="194"/>
      <c r="I892" s="172"/>
      <c r="J892" s="172"/>
      <c r="K892" s="258"/>
    </row>
    <row r="893" spans="1:11" ht="25.5">
      <c r="A893" s="257" t="s">
        <v>1741</v>
      </c>
      <c r="B893" s="170" t="s">
        <v>236</v>
      </c>
      <c r="C893" s="186" t="s">
        <v>43</v>
      </c>
      <c r="D893" s="186" t="s">
        <v>237</v>
      </c>
      <c r="E893" s="171" t="s">
        <v>144</v>
      </c>
      <c r="F893" s="170">
        <v>4.9000000000000004</v>
      </c>
      <c r="G893" s="172"/>
      <c r="H893" s="194"/>
      <c r="I893" s="172"/>
      <c r="J893" s="172"/>
      <c r="K893" s="258"/>
    </row>
    <row r="894" spans="1:11">
      <c r="A894" s="259" t="s">
        <v>1742</v>
      </c>
      <c r="B894" s="187"/>
      <c r="C894" s="187"/>
      <c r="D894" s="187" t="s">
        <v>257</v>
      </c>
      <c r="E894" s="187"/>
      <c r="F894" s="169"/>
      <c r="G894" s="187"/>
      <c r="H894" s="193"/>
      <c r="I894" s="187"/>
      <c r="J894" s="168"/>
      <c r="K894" s="260"/>
    </row>
    <row r="895" spans="1:11" ht="38.25">
      <c r="A895" s="257" t="s">
        <v>1743</v>
      </c>
      <c r="B895" s="170" t="s">
        <v>259</v>
      </c>
      <c r="C895" s="186" t="s">
        <v>43</v>
      </c>
      <c r="D895" s="186" t="s">
        <v>260</v>
      </c>
      <c r="E895" s="171" t="s">
        <v>45</v>
      </c>
      <c r="F895" s="170">
        <v>1471.62</v>
      </c>
      <c r="G895" s="172"/>
      <c r="H895" s="194"/>
      <c r="I895" s="172"/>
      <c r="J895" s="172"/>
      <c r="K895" s="258"/>
    </row>
    <row r="896" spans="1:11" ht="51">
      <c r="A896" s="257" t="s">
        <v>1744</v>
      </c>
      <c r="B896" s="170" t="s">
        <v>262</v>
      </c>
      <c r="C896" s="186" t="s">
        <v>43</v>
      </c>
      <c r="D896" s="186" t="s">
        <v>263</v>
      </c>
      <c r="E896" s="171" t="s">
        <v>45</v>
      </c>
      <c r="F896" s="170">
        <v>919.1</v>
      </c>
      <c r="G896" s="172"/>
      <c r="H896" s="194"/>
      <c r="I896" s="172"/>
      <c r="J896" s="172"/>
      <c r="K896" s="258"/>
    </row>
    <row r="897" spans="1:11" ht="51">
      <c r="A897" s="257" t="s">
        <v>1745</v>
      </c>
      <c r="B897" s="170" t="s">
        <v>265</v>
      </c>
      <c r="C897" s="186" t="s">
        <v>43</v>
      </c>
      <c r="D897" s="186" t="s">
        <v>266</v>
      </c>
      <c r="E897" s="171" t="s">
        <v>45</v>
      </c>
      <c r="F897" s="170">
        <v>49.72</v>
      </c>
      <c r="G897" s="172"/>
      <c r="H897" s="194"/>
      <c r="I897" s="172"/>
      <c r="J897" s="172"/>
      <c r="K897" s="258"/>
    </row>
    <row r="898" spans="1:11" ht="51">
      <c r="A898" s="257" t="s">
        <v>1746</v>
      </c>
      <c r="B898" s="170" t="s">
        <v>268</v>
      </c>
      <c r="C898" s="186" t="s">
        <v>43</v>
      </c>
      <c r="D898" s="186" t="s">
        <v>269</v>
      </c>
      <c r="E898" s="171" t="s">
        <v>45</v>
      </c>
      <c r="F898" s="170">
        <v>919.1</v>
      </c>
      <c r="G898" s="172"/>
      <c r="H898" s="194"/>
      <c r="I898" s="172"/>
      <c r="J898" s="172"/>
      <c r="K898" s="258"/>
    </row>
    <row r="899" spans="1:11" ht="51">
      <c r="A899" s="257" t="s">
        <v>1747</v>
      </c>
      <c r="B899" s="170" t="s">
        <v>271</v>
      </c>
      <c r="C899" s="186" t="s">
        <v>43</v>
      </c>
      <c r="D899" s="186" t="s">
        <v>272</v>
      </c>
      <c r="E899" s="171" t="s">
        <v>45</v>
      </c>
      <c r="F899" s="170">
        <v>225.2</v>
      </c>
      <c r="G899" s="172"/>
      <c r="H899" s="194"/>
      <c r="I899" s="172"/>
      <c r="J899" s="172"/>
      <c r="K899" s="258"/>
    </row>
    <row r="900" spans="1:11" ht="25.5">
      <c r="A900" s="257" t="s">
        <v>1748</v>
      </c>
      <c r="B900" s="170" t="s">
        <v>274</v>
      </c>
      <c r="C900" s="186" t="s">
        <v>34</v>
      </c>
      <c r="D900" s="186" t="s">
        <v>275</v>
      </c>
      <c r="E900" s="171" t="s">
        <v>276</v>
      </c>
      <c r="F900" s="170">
        <v>1246.42</v>
      </c>
      <c r="G900" s="172"/>
      <c r="H900" s="194"/>
      <c r="I900" s="172"/>
      <c r="J900" s="172"/>
      <c r="K900" s="258"/>
    </row>
    <row r="901" spans="1:11">
      <c r="A901" s="259" t="s">
        <v>1749</v>
      </c>
      <c r="B901" s="187"/>
      <c r="C901" s="187"/>
      <c r="D901" s="187" t="s">
        <v>302</v>
      </c>
      <c r="E901" s="187"/>
      <c r="F901" s="169"/>
      <c r="G901" s="187"/>
      <c r="H901" s="193"/>
      <c r="I901" s="187"/>
      <c r="J901" s="168"/>
      <c r="K901" s="260"/>
    </row>
    <row r="902" spans="1:11" ht="38.25">
      <c r="A902" s="257" t="s">
        <v>1750</v>
      </c>
      <c r="B902" s="170" t="s">
        <v>307</v>
      </c>
      <c r="C902" s="186" t="s">
        <v>43</v>
      </c>
      <c r="D902" s="186" t="s">
        <v>308</v>
      </c>
      <c r="E902" s="171" t="s">
        <v>36</v>
      </c>
      <c r="F902" s="170">
        <v>20.16</v>
      </c>
      <c r="G902" s="172"/>
      <c r="H902" s="194"/>
      <c r="I902" s="172"/>
      <c r="J902" s="172"/>
      <c r="K902" s="258"/>
    </row>
    <row r="903" spans="1:11" ht="25.5">
      <c r="A903" s="257" t="s">
        <v>1751</v>
      </c>
      <c r="B903" s="170" t="s">
        <v>310</v>
      </c>
      <c r="C903" s="186" t="s">
        <v>34</v>
      </c>
      <c r="D903" s="186" t="s">
        <v>311</v>
      </c>
      <c r="E903" s="171" t="s">
        <v>31</v>
      </c>
      <c r="F903" s="170">
        <v>3</v>
      </c>
      <c r="G903" s="172"/>
      <c r="H903" s="194"/>
      <c r="I903" s="172"/>
      <c r="J903" s="172"/>
      <c r="K903" s="258"/>
    </row>
    <row r="904" spans="1:11" ht="38.25">
      <c r="A904" s="257" t="s">
        <v>1752</v>
      </c>
      <c r="B904" s="170" t="s">
        <v>331</v>
      </c>
      <c r="C904" s="186" t="s">
        <v>43</v>
      </c>
      <c r="D904" s="186" t="s">
        <v>332</v>
      </c>
      <c r="E904" s="171" t="s">
        <v>45</v>
      </c>
      <c r="F904" s="170">
        <v>7.56</v>
      </c>
      <c r="G904" s="172"/>
      <c r="H904" s="194"/>
      <c r="I904" s="172"/>
      <c r="J904" s="172"/>
      <c r="K904" s="258"/>
    </row>
    <row r="905" spans="1:11">
      <c r="A905" s="257" t="s">
        <v>1753</v>
      </c>
      <c r="B905" s="170" t="s">
        <v>1032</v>
      </c>
      <c r="C905" s="186" t="s">
        <v>34</v>
      </c>
      <c r="D905" s="186" t="s">
        <v>1033</v>
      </c>
      <c r="E905" s="171" t="s">
        <v>45</v>
      </c>
      <c r="F905" s="170">
        <v>19.2</v>
      </c>
      <c r="G905" s="172"/>
      <c r="H905" s="194"/>
      <c r="I905" s="172"/>
      <c r="J905" s="172"/>
      <c r="K905" s="258"/>
    </row>
    <row r="906" spans="1:11">
      <c r="A906" s="257" t="s">
        <v>1754</v>
      </c>
      <c r="B906" s="170" t="s">
        <v>319</v>
      </c>
      <c r="C906" s="186" t="s">
        <v>34</v>
      </c>
      <c r="D906" s="186" t="s">
        <v>320</v>
      </c>
      <c r="E906" s="171" t="s">
        <v>45</v>
      </c>
      <c r="F906" s="170">
        <v>19.95</v>
      </c>
      <c r="G906" s="172"/>
      <c r="H906" s="194"/>
      <c r="I906" s="172"/>
      <c r="J906" s="172"/>
      <c r="K906" s="258"/>
    </row>
    <row r="907" spans="1:11" ht="38.25">
      <c r="A907" s="257" t="s">
        <v>1755</v>
      </c>
      <c r="B907" s="170" t="s">
        <v>340</v>
      </c>
      <c r="C907" s="186" t="s">
        <v>43</v>
      </c>
      <c r="D907" s="186" t="s">
        <v>341</v>
      </c>
      <c r="E907" s="171" t="s">
        <v>45</v>
      </c>
      <c r="F907" s="170">
        <v>164.16</v>
      </c>
      <c r="G907" s="172"/>
      <c r="H907" s="194"/>
      <c r="I907" s="172"/>
      <c r="J907" s="172"/>
      <c r="K907" s="258"/>
    </row>
    <row r="908" spans="1:11" ht="25.5">
      <c r="A908" s="257" t="s">
        <v>1756</v>
      </c>
      <c r="B908" s="170" t="s">
        <v>343</v>
      </c>
      <c r="C908" s="186" t="s">
        <v>43</v>
      </c>
      <c r="D908" s="186" t="s">
        <v>344</v>
      </c>
      <c r="E908" s="171" t="s">
        <v>45</v>
      </c>
      <c r="F908" s="170">
        <v>1.21</v>
      </c>
      <c r="G908" s="172"/>
      <c r="H908" s="194"/>
      <c r="I908" s="172"/>
      <c r="J908" s="172"/>
      <c r="K908" s="258"/>
    </row>
    <row r="909" spans="1:11" ht="25.5">
      <c r="A909" s="257" t="s">
        <v>1757</v>
      </c>
      <c r="B909" s="170" t="s">
        <v>278</v>
      </c>
      <c r="C909" s="186" t="s">
        <v>34</v>
      </c>
      <c r="D909" s="186" t="s">
        <v>279</v>
      </c>
      <c r="E909" s="171" t="s">
        <v>276</v>
      </c>
      <c r="F909" s="170">
        <v>20.14</v>
      </c>
      <c r="G909" s="172"/>
      <c r="H909" s="194"/>
      <c r="I909" s="172"/>
      <c r="J909" s="172"/>
      <c r="K909" s="258"/>
    </row>
    <row r="910" spans="1:11">
      <c r="A910" s="259" t="s">
        <v>1758</v>
      </c>
      <c r="B910" s="187"/>
      <c r="C910" s="187"/>
      <c r="D910" s="187" t="s">
        <v>375</v>
      </c>
      <c r="E910" s="187"/>
      <c r="F910" s="169"/>
      <c r="G910" s="187"/>
      <c r="H910" s="193"/>
      <c r="I910" s="187"/>
      <c r="J910" s="168"/>
      <c r="K910" s="260"/>
    </row>
    <row r="911" spans="1:11" ht="38.25">
      <c r="A911" s="257" t="s">
        <v>1759</v>
      </c>
      <c r="B911" s="170" t="s">
        <v>1598</v>
      </c>
      <c r="C911" s="186" t="s">
        <v>43</v>
      </c>
      <c r="D911" s="186" t="s">
        <v>1599</v>
      </c>
      <c r="E911" s="171" t="s">
        <v>36</v>
      </c>
      <c r="F911" s="170">
        <v>8</v>
      </c>
      <c r="G911" s="172"/>
      <c r="H911" s="194"/>
      <c r="I911" s="172"/>
      <c r="J911" s="172"/>
      <c r="K911" s="258"/>
    </row>
    <row r="912" spans="1:11" ht="25.5">
      <c r="A912" s="257" t="s">
        <v>1760</v>
      </c>
      <c r="B912" s="170" t="s">
        <v>1761</v>
      </c>
      <c r="C912" s="186" t="s">
        <v>43</v>
      </c>
      <c r="D912" s="186" t="s">
        <v>1762</v>
      </c>
      <c r="E912" s="171" t="s">
        <v>36</v>
      </c>
      <c r="F912" s="170">
        <v>12</v>
      </c>
      <c r="G912" s="172"/>
      <c r="H912" s="194"/>
      <c r="I912" s="172"/>
      <c r="J912" s="172"/>
      <c r="K912" s="258"/>
    </row>
    <row r="913" spans="1:11" ht="38.25">
      <c r="A913" s="257" t="s">
        <v>1763</v>
      </c>
      <c r="B913" s="170" t="s">
        <v>1764</v>
      </c>
      <c r="C913" s="186" t="s">
        <v>43</v>
      </c>
      <c r="D913" s="186" t="s">
        <v>1765</v>
      </c>
      <c r="E913" s="171" t="s">
        <v>36</v>
      </c>
      <c r="F913" s="170">
        <v>2</v>
      </c>
      <c r="G913" s="172"/>
      <c r="H913" s="194"/>
      <c r="I913" s="172"/>
      <c r="J913" s="172"/>
      <c r="K913" s="258"/>
    </row>
    <row r="914" spans="1:11" ht="25.5">
      <c r="A914" s="257" t="s">
        <v>1766</v>
      </c>
      <c r="B914" s="170" t="s">
        <v>386</v>
      </c>
      <c r="C914" s="186" t="s">
        <v>43</v>
      </c>
      <c r="D914" s="186" t="s">
        <v>387</v>
      </c>
      <c r="E914" s="171" t="s">
        <v>36</v>
      </c>
      <c r="F914" s="170">
        <v>8</v>
      </c>
      <c r="G914" s="172"/>
      <c r="H914" s="194"/>
      <c r="I914" s="172"/>
      <c r="J914" s="172"/>
      <c r="K914" s="258"/>
    </row>
    <row r="915" spans="1:11" ht="26.45" customHeight="1">
      <c r="A915" s="257" t="s">
        <v>1767</v>
      </c>
      <c r="B915" s="170" t="s">
        <v>419</v>
      </c>
      <c r="C915" s="186" t="s">
        <v>43</v>
      </c>
      <c r="D915" s="186" t="s">
        <v>420</v>
      </c>
      <c r="E915" s="171" t="s">
        <v>36</v>
      </c>
      <c r="F915" s="170">
        <v>12</v>
      </c>
      <c r="G915" s="172"/>
      <c r="H915" s="194"/>
      <c r="I915" s="172"/>
      <c r="J915" s="172"/>
      <c r="K915" s="258"/>
    </row>
    <row r="916" spans="1:11" ht="26.45" customHeight="1">
      <c r="A916" s="257" t="s">
        <v>1768</v>
      </c>
      <c r="B916" s="170" t="s">
        <v>404</v>
      </c>
      <c r="C916" s="186" t="s">
        <v>43</v>
      </c>
      <c r="D916" s="186" t="s">
        <v>405</v>
      </c>
      <c r="E916" s="171" t="s">
        <v>36</v>
      </c>
      <c r="F916" s="170">
        <v>14</v>
      </c>
      <c r="G916" s="172"/>
      <c r="H916" s="194"/>
      <c r="I916" s="172"/>
      <c r="J916" s="172"/>
      <c r="K916" s="258"/>
    </row>
    <row r="917" spans="1:11" ht="26.45" customHeight="1">
      <c r="A917" s="257" t="s">
        <v>1769</v>
      </c>
      <c r="B917" s="170" t="s">
        <v>1770</v>
      </c>
      <c r="C917" s="186" t="s">
        <v>43</v>
      </c>
      <c r="D917" s="186" t="s">
        <v>1771</v>
      </c>
      <c r="E917" s="171" t="s">
        <v>36</v>
      </c>
      <c r="F917" s="170">
        <v>2</v>
      </c>
      <c r="G917" s="172"/>
      <c r="H917" s="194"/>
      <c r="I917" s="172"/>
      <c r="J917" s="172"/>
      <c r="K917" s="258"/>
    </row>
    <row r="918" spans="1:11" ht="25.5">
      <c r="A918" s="257" t="s">
        <v>1772</v>
      </c>
      <c r="B918" s="170" t="s">
        <v>1773</v>
      </c>
      <c r="C918" s="186" t="s">
        <v>43</v>
      </c>
      <c r="D918" s="186" t="s">
        <v>1774</v>
      </c>
      <c r="E918" s="171" t="s">
        <v>36</v>
      </c>
      <c r="F918" s="170">
        <v>2</v>
      </c>
      <c r="G918" s="172"/>
      <c r="H918" s="194"/>
      <c r="I918" s="172"/>
      <c r="J918" s="172"/>
      <c r="K918" s="258"/>
    </row>
    <row r="919" spans="1:11" ht="25.5">
      <c r="A919" s="257" t="s">
        <v>1775</v>
      </c>
      <c r="B919" s="170" t="s">
        <v>1776</v>
      </c>
      <c r="C919" s="186" t="s">
        <v>43</v>
      </c>
      <c r="D919" s="186" t="s">
        <v>1777</v>
      </c>
      <c r="E919" s="171" t="s">
        <v>36</v>
      </c>
      <c r="F919" s="170">
        <v>2</v>
      </c>
      <c r="G919" s="172"/>
      <c r="H919" s="194"/>
      <c r="I919" s="172"/>
      <c r="J919" s="172"/>
      <c r="K919" s="258"/>
    </row>
    <row r="920" spans="1:11" ht="25.5">
      <c r="A920" s="257" t="s">
        <v>1778</v>
      </c>
      <c r="B920" s="170" t="s">
        <v>1779</v>
      </c>
      <c r="C920" s="186" t="s">
        <v>43</v>
      </c>
      <c r="D920" s="186" t="s">
        <v>1780</v>
      </c>
      <c r="E920" s="171" t="s">
        <v>36</v>
      </c>
      <c r="F920" s="170">
        <v>2</v>
      </c>
      <c r="G920" s="172"/>
      <c r="H920" s="194"/>
      <c r="I920" s="172"/>
      <c r="J920" s="172"/>
      <c r="K920" s="258"/>
    </row>
    <row r="921" spans="1:11" ht="38.25">
      <c r="A921" s="257" t="s">
        <v>1781</v>
      </c>
      <c r="B921" s="170" t="s">
        <v>380</v>
      </c>
      <c r="C921" s="186" t="s">
        <v>43</v>
      </c>
      <c r="D921" s="186" t="s">
        <v>381</v>
      </c>
      <c r="E921" s="171" t="s">
        <v>36</v>
      </c>
      <c r="F921" s="170">
        <v>2</v>
      </c>
      <c r="G921" s="172"/>
      <c r="H921" s="194"/>
      <c r="I921" s="172"/>
      <c r="J921" s="172"/>
      <c r="K921" s="258"/>
    </row>
    <row r="922" spans="1:11" ht="25.5">
      <c r="A922" s="257" t="s">
        <v>1782</v>
      </c>
      <c r="B922" s="170" t="s">
        <v>383</v>
      </c>
      <c r="C922" s="186" t="s">
        <v>43</v>
      </c>
      <c r="D922" s="186" t="s">
        <v>384</v>
      </c>
      <c r="E922" s="171" t="s">
        <v>36</v>
      </c>
      <c r="F922" s="170">
        <v>10</v>
      </c>
      <c r="G922" s="172"/>
      <c r="H922" s="194"/>
      <c r="I922" s="172"/>
      <c r="J922" s="172"/>
      <c r="K922" s="258"/>
    </row>
    <row r="923" spans="1:11">
      <c r="A923" s="257" t="s">
        <v>1783</v>
      </c>
      <c r="B923" s="170" t="s">
        <v>416</v>
      </c>
      <c r="C923" s="186" t="s">
        <v>34</v>
      </c>
      <c r="D923" s="186" t="s">
        <v>417</v>
      </c>
      <c r="E923" s="171" t="s">
        <v>36</v>
      </c>
      <c r="F923" s="170">
        <v>3</v>
      </c>
      <c r="G923" s="172"/>
      <c r="H923" s="194"/>
      <c r="I923" s="172"/>
      <c r="J923" s="172"/>
      <c r="K923" s="258"/>
    </row>
    <row r="924" spans="1:11">
      <c r="A924" s="257" t="s">
        <v>1784</v>
      </c>
      <c r="B924" s="170" t="s">
        <v>431</v>
      </c>
      <c r="C924" s="186" t="s">
        <v>34</v>
      </c>
      <c r="D924" s="186" t="s">
        <v>432</v>
      </c>
      <c r="E924" s="171" t="s">
        <v>45</v>
      </c>
      <c r="F924" s="170">
        <v>7</v>
      </c>
      <c r="G924" s="172"/>
      <c r="H924" s="194"/>
      <c r="I924" s="172"/>
      <c r="J924" s="172"/>
      <c r="K924" s="258"/>
    </row>
    <row r="925" spans="1:11" ht="25.5">
      <c r="A925" s="257" t="s">
        <v>1785</v>
      </c>
      <c r="B925" s="170" t="s">
        <v>434</v>
      </c>
      <c r="C925" s="186" t="s">
        <v>34</v>
      </c>
      <c r="D925" s="186" t="s">
        <v>435</v>
      </c>
      <c r="E925" s="171" t="s">
        <v>36</v>
      </c>
      <c r="F925" s="170">
        <v>10</v>
      </c>
      <c r="G925" s="172"/>
      <c r="H925" s="194"/>
      <c r="I925" s="172"/>
      <c r="J925" s="172"/>
      <c r="K925" s="258"/>
    </row>
    <row r="926" spans="1:11" ht="25.5">
      <c r="A926" s="257" t="s">
        <v>1786</v>
      </c>
      <c r="B926" s="170" t="s">
        <v>437</v>
      </c>
      <c r="C926" s="186" t="s">
        <v>34</v>
      </c>
      <c r="D926" s="186" t="s">
        <v>438</v>
      </c>
      <c r="E926" s="171" t="s">
        <v>36</v>
      </c>
      <c r="F926" s="170">
        <v>10</v>
      </c>
      <c r="G926" s="172"/>
      <c r="H926" s="194"/>
      <c r="I926" s="172"/>
      <c r="J926" s="172"/>
      <c r="K926" s="258"/>
    </row>
    <row r="927" spans="1:11" ht="25.5">
      <c r="A927" s="257" t="s">
        <v>1787</v>
      </c>
      <c r="B927" s="170" t="s">
        <v>443</v>
      </c>
      <c r="C927" s="186" t="s">
        <v>34</v>
      </c>
      <c r="D927" s="186" t="s">
        <v>444</v>
      </c>
      <c r="E927" s="171" t="s">
        <v>36</v>
      </c>
      <c r="F927" s="170">
        <v>10</v>
      </c>
      <c r="G927" s="172"/>
      <c r="H927" s="194"/>
      <c r="I927" s="172"/>
      <c r="J927" s="172"/>
      <c r="K927" s="258"/>
    </row>
    <row r="928" spans="1:11">
      <c r="A928" s="257" t="s">
        <v>1788</v>
      </c>
      <c r="B928" s="170" t="s">
        <v>458</v>
      </c>
      <c r="C928" s="186" t="s">
        <v>34</v>
      </c>
      <c r="D928" s="186" t="s">
        <v>459</v>
      </c>
      <c r="E928" s="171" t="s">
        <v>45</v>
      </c>
      <c r="F928" s="170">
        <v>5.12</v>
      </c>
      <c r="G928" s="172"/>
      <c r="H928" s="194"/>
      <c r="I928" s="172"/>
      <c r="J928" s="172"/>
      <c r="K928" s="258"/>
    </row>
    <row r="929" spans="1:11" ht="25.5">
      <c r="A929" s="257" t="s">
        <v>1789</v>
      </c>
      <c r="B929" s="170" t="s">
        <v>1790</v>
      </c>
      <c r="C929" s="186" t="s">
        <v>43</v>
      </c>
      <c r="D929" s="186" t="s">
        <v>1791</v>
      </c>
      <c r="E929" s="171" t="s">
        <v>36</v>
      </c>
      <c r="F929" s="170">
        <v>2</v>
      </c>
      <c r="G929" s="172"/>
      <c r="H929" s="194"/>
      <c r="I929" s="172"/>
      <c r="J929" s="172"/>
      <c r="K929" s="258"/>
    </row>
    <row r="930" spans="1:11" ht="25.5">
      <c r="A930" s="257" t="s">
        <v>1792</v>
      </c>
      <c r="B930" s="170" t="s">
        <v>1793</v>
      </c>
      <c r="C930" s="186" t="s">
        <v>34</v>
      </c>
      <c r="D930" s="186" t="s">
        <v>1794</v>
      </c>
      <c r="E930" s="171" t="s">
        <v>36</v>
      </c>
      <c r="F930" s="170">
        <v>1</v>
      </c>
      <c r="G930" s="172"/>
      <c r="H930" s="194"/>
      <c r="I930" s="172"/>
      <c r="J930" s="172"/>
      <c r="K930" s="258"/>
    </row>
    <row r="931" spans="1:11" ht="25.5">
      <c r="A931" s="257" t="s">
        <v>1795</v>
      </c>
      <c r="B931" s="170" t="s">
        <v>155</v>
      </c>
      <c r="C931" s="186" t="s">
        <v>43</v>
      </c>
      <c r="D931" s="186" t="s">
        <v>156</v>
      </c>
      <c r="E931" s="171" t="s">
        <v>144</v>
      </c>
      <c r="F931" s="170">
        <v>57.68</v>
      </c>
      <c r="G931" s="172"/>
      <c r="H931" s="194"/>
      <c r="I931" s="172"/>
      <c r="J931" s="172"/>
      <c r="K931" s="258"/>
    </row>
    <row r="932" spans="1:11" ht="25.5">
      <c r="A932" s="257" t="s">
        <v>1796</v>
      </c>
      <c r="B932" s="170" t="s">
        <v>334</v>
      </c>
      <c r="C932" s="186" t="s">
        <v>43</v>
      </c>
      <c r="D932" s="186" t="s">
        <v>335</v>
      </c>
      <c r="E932" s="171" t="s">
        <v>144</v>
      </c>
      <c r="F932" s="170">
        <v>9.92</v>
      </c>
      <c r="G932" s="172"/>
      <c r="H932" s="194"/>
      <c r="I932" s="172"/>
      <c r="J932" s="172"/>
      <c r="K932" s="258"/>
    </row>
    <row r="933" spans="1:11">
      <c r="A933" s="259" t="s">
        <v>1797</v>
      </c>
      <c r="B933" s="187"/>
      <c r="C933" s="187"/>
      <c r="D933" s="187" t="s">
        <v>700</v>
      </c>
      <c r="E933" s="187"/>
      <c r="F933" s="169"/>
      <c r="G933" s="187"/>
      <c r="H933" s="193"/>
      <c r="I933" s="187"/>
      <c r="J933" s="168"/>
      <c r="K933" s="260"/>
    </row>
    <row r="934" spans="1:11">
      <c r="A934" s="259" t="s">
        <v>1798</v>
      </c>
      <c r="B934" s="187"/>
      <c r="C934" s="187"/>
      <c r="D934" s="187" t="s">
        <v>702</v>
      </c>
      <c r="E934" s="187"/>
      <c r="F934" s="169"/>
      <c r="G934" s="187"/>
      <c r="H934" s="193"/>
      <c r="I934" s="187"/>
      <c r="J934" s="168"/>
      <c r="K934" s="260"/>
    </row>
    <row r="935" spans="1:11" ht="38.25">
      <c r="A935" s="257" t="s">
        <v>1799</v>
      </c>
      <c r="B935" s="170" t="s">
        <v>1800</v>
      </c>
      <c r="C935" s="186" t="s">
        <v>43</v>
      </c>
      <c r="D935" s="186" t="s">
        <v>1801</v>
      </c>
      <c r="E935" s="171" t="s">
        <v>36</v>
      </c>
      <c r="F935" s="170">
        <v>4</v>
      </c>
      <c r="G935" s="172"/>
      <c r="H935" s="194"/>
      <c r="I935" s="172"/>
      <c r="J935" s="172"/>
      <c r="K935" s="258"/>
    </row>
    <row r="936" spans="1:11" ht="25.5">
      <c r="A936" s="257" t="s">
        <v>1802</v>
      </c>
      <c r="B936" s="170" t="s">
        <v>1803</v>
      </c>
      <c r="C936" s="186" t="s">
        <v>43</v>
      </c>
      <c r="D936" s="186" t="s">
        <v>1804</v>
      </c>
      <c r="E936" s="171" t="s">
        <v>36</v>
      </c>
      <c r="F936" s="170">
        <v>5</v>
      </c>
      <c r="G936" s="172"/>
      <c r="H936" s="194"/>
      <c r="I936" s="172"/>
      <c r="J936" s="172"/>
      <c r="K936" s="258"/>
    </row>
    <row r="937" spans="1:11" ht="38.25">
      <c r="A937" s="257" t="s">
        <v>1805</v>
      </c>
      <c r="B937" s="170" t="s">
        <v>1806</v>
      </c>
      <c r="C937" s="186" t="s">
        <v>43</v>
      </c>
      <c r="D937" s="186" t="s">
        <v>1807</v>
      </c>
      <c r="E937" s="171" t="s">
        <v>36</v>
      </c>
      <c r="F937" s="170">
        <v>3</v>
      </c>
      <c r="G937" s="172"/>
      <c r="H937" s="194"/>
      <c r="I937" s="172"/>
      <c r="J937" s="172"/>
      <c r="K937" s="258"/>
    </row>
    <row r="938" spans="1:11" ht="25.5">
      <c r="A938" s="257" t="s">
        <v>1808</v>
      </c>
      <c r="B938" s="170" t="s">
        <v>728</v>
      </c>
      <c r="C938" s="186" t="s">
        <v>43</v>
      </c>
      <c r="D938" s="186" t="s">
        <v>729</v>
      </c>
      <c r="E938" s="171" t="s">
        <v>36</v>
      </c>
      <c r="F938" s="170">
        <v>25</v>
      </c>
      <c r="G938" s="172"/>
      <c r="H938" s="194"/>
      <c r="I938" s="172"/>
      <c r="J938" s="172"/>
      <c r="K938" s="258"/>
    </row>
    <row r="939" spans="1:11" ht="25.5">
      <c r="A939" s="257" t="s">
        <v>1809</v>
      </c>
      <c r="B939" s="170" t="s">
        <v>725</v>
      </c>
      <c r="C939" s="186" t="s">
        <v>43</v>
      </c>
      <c r="D939" s="186" t="s">
        <v>726</v>
      </c>
      <c r="E939" s="171" t="s">
        <v>36</v>
      </c>
      <c r="F939" s="170">
        <v>7</v>
      </c>
      <c r="G939" s="172"/>
      <c r="H939" s="194"/>
      <c r="I939" s="172"/>
      <c r="J939" s="172"/>
      <c r="K939" s="258"/>
    </row>
    <row r="940" spans="1:11" ht="38.25">
      <c r="A940" s="257" t="s">
        <v>1810</v>
      </c>
      <c r="B940" s="170" t="s">
        <v>1503</v>
      </c>
      <c r="C940" s="186" t="s">
        <v>43</v>
      </c>
      <c r="D940" s="186" t="s">
        <v>1504</v>
      </c>
      <c r="E940" s="171" t="s">
        <v>36</v>
      </c>
      <c r="F940" s="170">
        <v>3</v>
      </c>
      <c r="G940" s="172"/>
      <c r="H940" s="194"/>
      <c r="I940" s="172"/>
      <c r="J940" s="172"/>
      <c r="K940" s="258"/>
    </row>
    <row r="941" spans="1:11" ht="38.25">
      <c r="A941" s="257" t="s">
        <v>1811</v>
      </c>
      <c r="B941" s="170" t="s">
        <v>719</v>
      </c>
      <c r="C941" s="186" t="s">
        <v>43</v>
      </c>
      <c r="D941" s="186" t="s">
        <v>720</v>
      </c>
      <c r="E941" s="171" t="s">
        <v>36</v>
      </c>
      <c r="F941" s="170">
        <v>8</v>
      </c>
      <c r="G941" s="172"/>
      <c r="H941" s="194"/>
      <c r="I941" s="172"/>
      <c r="J941" s="172"/>
      <c r="K941" s="258"/>
    </row>
    <row r="942" spans="1:11" ht="38.25">
      <c r="A942" s="257" t="s">
        <v>1812</v>
      </c>
      <c r="B942" s="170" t="s">
        <v>722</v>
      </c>
      <c r="C942" s="186" t="s">
        <v>43</v>
      </c>
      <c r="D942" s="186" t="s">
        <v>723</v>
      </c>
      <c r="E942" s="171" t="s">
        <v>36</v>
      </c>
      <c r="F942" s="170">
        <v>15</v>
      </c>
      <c r="G942" s="172"/>
      <c r="H942" s="194"/>
      <c r="I942" s="172"/>
      <c r="J942" s="172"/>
      <c r="K942" s="258"/>
    </row>
    <row r="943" spans="1:11" ht="38.25">
      <c r="A943" s="257" t="s">
        <v>1813</v>
      </c>
      <c r="B943" s="170" t="s">
        <v>1102</v>
      </c>
      <c r="C943" s="186" t="s">
        <v>43</v>
      </c>
      <c r="D943" s="186" t="s">
        <v>1103</v>
      </c>
      <c r="E943" s="171" t="s">
        <v>36</v>
      </c>
      <c r="F943" s="170">
        <v>4</v>
      </c>
      <c r="G943" s="172"/>
      <c r="H943" s="194"/>
      <c r="I943" s="172"/>
      <c r="J943" s="172"/>
      <c r="K943" s="258"/>
    </row>
    <row r="944" spans="1:11" ht="38.25">
      <c r="A944" s="257" t="s">
        <v>1814</v>
      </c>
      <c r="B944" s="170" t="s">
        <v>737</v>
      </c>
      <c r="C944" s="186" t="s">
        <v>43</v>
      </c>
      <c r="D944" s="186" t="s">
        <v>738</v>
      </c>
      <c r="E944" s="171" t="s">
        <v>36</v>
      </c>
      <c r="F944" s="170">
        <v>2</v>
      </c>
      <c r="G944" s="172"/>
      <c r="H944" s="194"/>
      <c r="I944" s="172"/>
      <c r="J944" s="172"/>
      <c r="K944" s="258"/>
    </row>
    <row r="945" spans="1:11" ht="25.5">
      <c r="A945" s="257" t="s">
        <v>1815</v>
      </c>
      <c r="B945" s="170" t="s">
        <v>1816</v>
      </c>
      <c r="C945" s="186" t="s">
        <v>43</v>
      </c>
      <c r="D945" s="186" t="s">
        <v>1817</v>
      </c>
      <c r="E945" s="171" t="s">
        <v>36</v>
      </c>
      <c r="F945" s="170">
        <v>2</v>
      </c>
      <c r="G945" s="172"/>
      <c r="H945" s="194"/>
      <c r="I945" s="172"/>
      <c r="J945" s="172"/>
      <c r="K945" s="258"/>
    </row>
    <row r="946" spans="1:11" ht="38.25">
      <c r="A946" s="257" t="s">
        <v>1818</v>
      </c>
      <c r="B946" s="170" t="s">
        <v>731</v>
      </c>
      <c r="C946" s="186" t="s">
        <v>43</v>
      </c>
      <c r="D946" s="186" t="s">
        <v>732</v>
      </c>
      <c r="E946" s="171" t="s">
        <v>36</v>
      </c>
      <c r="F946" s="170">
        <v>4</v>
      </c>
      <c r="G946" s="172"/>
      <c r="H946" s="194"/>
      <c r="I946" s="172"/>
      <c r="J946" s="172"/>
      <c r="K946" s="258"/>
    </row>
    <row r="947" spans="1:11" ht="38.25">
      <c r="A947" s="257" t="s">
        <v>1819</v>
      </c>
      <c r="B947" s="170" t="s">
        <v>1820</v>
      </c>
      <c r="C947" s="186" t="s">
        <v>43</v>
      </c>
      <c r="D947" s="186" t="s">
        <v>1821</v>
      </c>
      <c r="E947" s="171" t="s">
        <v>36</v>
      </c>
      <c r="F947" s="170">
        <v>2</v>
      </c>
      <c r="G947" s="172"/>
      <c r="H947" s="194"/>
      <c r="I947" s="172"/>
      <c r="J947" s="172"/>
      <c r="K947" s="258"/>
    </row>
    <row r="948" spans="1:11" ht="25.5">
      <c r="A948" s="257" t="s">
        <v>1822</v>
      </c>
      <c r="B948" s="170" t="s">
        <v>1515</v>
      </c>
      <c r="C948" s="186" t="s">
        <v>43</v>
      </c>
      <c r="D948" s="186" t="s">
        <v>1516</v>
      </c>
      <c r="E948" s="171" t="s">
        <v>36</v>
      </c>
      <c r="F948" s="170">
        <v>1</v>
      </c>
      <c r="G948" s="172"/>
      <c r="H948" s="194"/>
      <c r="I948" s="172"/>
      <c r="J948" s="172"/>
      <c r="K948" s="258"/>
    </row>
    <row r="949" spans="1:11" ht="25.5">
      <c r="A949" s="257" t="s">
        <v>1823</v>
      </c>
      <c r="B949" s="170" t="s">
        <v>1105</v>
      </c>
      <c r="C949" s="186" t="s">
        <v>43</v>
      </c>
      <c r="D949" s="186" t="s">
        <v>1106</v>
      </c>
      <c r="E949" s="171" t="s">
        <v>36</v>
      </c>
      <c r="F949" s="170">
        <v>1</v>
      </c>
      <c r="G949" s="172"/>
      <c r="H949" s="194"/>
      <c r="I949" s="172"/>
      <c r="J949" s="172"/>
      <c r="K949" s="258"/>
    </row>
    <row r="950" spans="1:11" ht="25.5">
      <c r="A950" s="257" t="s">
        <v>1824</v>
      </c>
      <c r="B950" s="170" t="s">
        <v>740</v>
      </c>
      <c r="C950" s="186" t="s">
        <v>43</v>
      </c>
      <c r="D950" s="186" t="s">
        <v>741</v>
      </c>
      <c r="E950" s="171" t="s">
        <v>36</v>
      </c>
      <c r="F950" s="170">
        <v>13</v>
      </c>
      <c r="G950" s="172"/>
      <c r="H950" s="194"/>
      <c r="I950" s="172"/>
      <c r="J950" s="172"/>
      <c r="K950" s="258"/>
    </row>
    <row r="951" spans="1:11" ht="25.5">
      <c r="A951" s="257" t="s">
        <v>1825</v>
      </c>
      <c r="B951" s="170" t="s">
        <v>1512</v>
      </c>
      <c r="C951" s="186" t="s">
        <v>43</v>
      </c>
      <c r="D951" s="186" t="s">
        <v>1513</v>
      </c>
      <c r="E951" s="171" t="s">
        <v>36</v>
      </c>
      <c r="F951" s="170">
        <v>1</v>
      </c>
      <c r="G951" s="172"/>
      <c r="H951" s="194"/>
      <c r="I951" s="172"/>
      <c r="J951" s="172"/>
      <c r="K951" s="258"/>
    </row>
    <row r="952" spans="1:11" ht="38.25">
      <c r="A952" s="257" t="s">
        <v>1826</v>
      </c>
      <c r="B952" s="170" t="s">
        <v>734</v>
      </c>
      <c r="C952" s="186" t="s">
        <v>43</v>
      </c>
      <c r="D952" s="186" t="s">
        <v>735</v>
      </c>
      <c r="E952" s="171" t="s">
        <v>36</v>
      </c>
      <c r="F952" s="170">
        <v>10</v>
      </c>
      <c r="G952" s="172"/>
      <c r="H952" s="194"/>
      <c r="I952" s="172"/>
      <c r="J952" s="172"/>
      <c r="K952" s="258"/>
    </row>
    <row r="953" spans="1:11" ht="25.5">
      <c r="A953" s="257" t="s">
        <v>1827</v>
      </c>
      <c r="B953" s="170" t="s">
        <v>749</v>
      </c>
      <c r="C953" s="186" t="s">
        <v>43</v>
      </c>
      <c r="D953" s="186" t="s">
        <v>750</v>
      </c>
      <c r="E953" s="171" t="s">
        <v>36</v>
      </c>
      <c r="F953" s="170">
        <v>7</v>
      </c>
      <c r="G953" s="172"/>
      <c r="H953" s="194"/>
      <c r="I953" s="172"/>
      <c r="J953" s="172"/>
      <c r="K953" s="258"/>
    </row>
    <row r="954" spans="1:11" ht="25.5">
      <c r="A954" s="257" t="s">
        <v>1828</v>
      </c>
      <c r="B954" s="170" t="s">
        <v>1829</v>
      </c>
      <c r="C954" s="186" t="s">
        <v>43</v>
      </c>
      <c r="D954" s="186" t="s">
        <v>1830</v>
      </c>
      <c r="E954" s="171" t="s">
        <v>36</v>
      </c>
      <c r="F954" s="170">
        <v>2</v>
      </c>
      <c r="G954" s="172"/>
      <c r="H954" s="194"/>
      <c r="I954" s="172"/>
      <c r="J954" s="172"/>
      <c r="K954" s="258"/>
    </row>
    <row r="955" spans="1:11" ht="25.5">
      <c r="A955" s="257" t="s">
        <v>1831</v>
      </c>
      <c r="B955" s="170" t="s">
        <v>1110</v>
      </c>
      <c r="C955" s="186" t="s">
        <v>43</v>
      </c>
      <c r="D955" s="186" t="s">
        <v>1111</v>
      </c>
      <c r="E955" s="171" t="s">
        <v>36</v>
      </c>
      <c r="F955" s="170">
        <v>8</v>
      </c>
      <c r="G955" s="172"/>
      <c r="H955" s="194"/>
      <c r="I955" s="172"/>
      <c r="J955" s="172"/>
      <c r="K955" s="258"/>
    </row>
    <row r="956" spans="1:11" ht="25.5">
      <c r="A956" s="257" t="s">
        <v>1832</v>
      </c>
      <c r="B956" s="170" t="s">
        <v>1833</v>
      </c>
      <c r="C956" s="186" t="s">
        <v>43</v>
      </c>
      <c r="D956" s="186" t="s">
        <v>1834</v>
      </c>
      <c r="E956" s="171" t="s">
        <v>36</v>
      </c>
      <c r="F956" s="170">
        <v>2</v>
      </c>
      <c r="G956" s="172"/>
      <c r="H956" s="194"/>
      <c r="I956" s="172"/>
      <c r="J956" s="172"/>
      <c r="K956" s="258"/>
    </row>
    <row r="957" spans="1:11" ht="25.5">
      <c r="A957" s="257" t="s">
        <v>1835</v>
      </c>
      <c r="B957" s="170" t="s">
        <v>1836</v>
      </c>
      <c r="C957" s="186" t="s">
        <v>43</v>
      </c>
      <c r="D957" s="186" t="s">
        <v>1837</v>
      </c>
      <c r="E957" s="171" t="s">
        <v>144</v>
      </c>
      <c r="F957" s="170">
        <v>8.49</v>
      </c>
      <c r="G957" s="172"/>
      <c r="H957" s="194"/>
      <c r="I957" s="172"/>
      <c r="J957" s="172"/>
      <c r="K957" s="258"/>
    </row>
    <row r="958" spans="1:11" ht="25.5">
      <c r="A958" s="257" t="s">
        <v>1838</v>
      </c>
      <c r="B958" s="170" t="s">
        <v>1839</v>
      </c>
      <c r="C958" s="186" t="s">
        <v>43</v>
      </c>
      <c r="D958" s="186" t="s">
        <v>1840</v>
      </c>
      <c r="E958" s="171" t="s">
        <v>144</v>
      </c>
      <c r="F958" s="170">
        <v>12.1</v>
      </c>
      <c r="G958" s="172"/>
      <c r="H958" s="194"/>
      <c r="I958" s="172"/>
      <c r="J958" s="172"/>
      <c r="K958" s="258"/>
    </row>
    <row r="959" spans="1:11" ht="25.5">
      <c r="A959" s="257" t="s">
        <v>1841</v>
      </c>
      <c r="B959" s="170" t="s">
        <v>1842</v>
      </c>
      <c r="C959" s="186" t="s">
        <v>43</v>
      </c>
      <c r="D959" s="186" t="s">
        <v>1843</v>
      </c>
      <c r="E959" s="171" t="s">
        <v>144</v>
      </c>
      <c r="F959" s="170">
        <v>71.37</v>
      </c>
      <c r="G959" s="172"/>
      <c r="H959" s="194"/>
      <c r="I959" s="172"/>
      <c r="J959" s="172"/>
      <c r="K959" s="258"/>
    </row>
    <row r="960" spans="1:11" ht="25.5">
      <c r="A960" s="257" t="s">
        <v>1844</v>
      </c>
      <c r="B960" s="170" t="s">
        <v>1845</v>
      </c>
      <c r="C960" s="186" t="s">
        <v>43</v>
      </c>
      <c r="D960" s="186" t="s">
        <v>1846</v>
      </c>
      <c r="E960" s="171" t="s">
        <v>144</v>
      </c>
      <c r="F960" s="170">
        <v>12.7</v>
      </c>
      <c r="G960" s="172"/>
      <c r="H960" s="194"/>
      <c r="I960" s="172"/>
      <c r="J960" s="172"/>
      <c r="K960" s="258"/>
    </row>
    <row r="961" spans="1:11" ht="25.5">
      <c r="A961" s="257" t="s">
        <v>1847</v>
      </c>
      <c r="B961" s="170" t="s">
        <v>1848</v>
      </c>
      <c r="C961" s="186" t="s">
        <v>43</v>
      </c>
      <c r="D961" s="186" t="s">
        <v>1849</v>
      </c>
      <c r="E961" s="171" t="s">
        <v>144</v>
      </c>
      <c r="F961" s="170">
        <v>12.82</v>
      </c>
      <c r="G961" s="172"/>
      <c r="H961" s="194"/>
      <c r="I961" s="172"/>
      <c r="J961" s="172"/>
      <c r="K961" s="258"/>
    </row>
    <row r="962" spans="1:11">
      <c r="A962" s="259" t="s">
        <v>1850</v>
      </c>
      <c r="B962" s="187"/>
      <c r="C962" s="187"/>
      <c r="D962" s="187" t="s">
        <v>752</v>
      </c>
      <c r="E962" s="187"/>
      <c r="F962" s="169"/>
      <c r="G962" s="187"/>
      <c r="H962" s="193"/>
      <c r="I962" s="187"/>
      <c r="J962" s="168"/>
      <c r="K962" s="260"/>
    </row>
    <row r="963" spans="1:11" ht="38.25">
      <c r="A963" s="257" t="s">
        <v>1851</v>
      </c>
      <c r="B963" s="170" t="s">
        <v>754</v>
      </c>
      <c r="C963" s="186" t="s">
        <v>43</v>
      </c>
      <c r="D963" s="186" t="s">
        <v>755</v>
      </c>
      <c r="E963" s="171" t="s">
        <v>144</v>
      </c>
      <c r="F963" s="170">
        <v>22.6</v>
      </c>
      <c r="G963" s="172"/>
      <c r="H963" s="194"/>
      <c r="I963" s="172"/>
      <c r="J963" s="172"/>
      <c r="K963" s="258"/>
    </row>
    <row r="964" spans="1:11" ht="38.25">
      <c r="A964" s="257" t="s">
        <v>1852</v>
      </c>
      <c r="B964" s="170" t="s">
        <v>811</v>
      </c>
      <c r="C964" s="186" t="s">
        <v>43</v>
      </c>
      <c r="D964" s="186" t="s">
        <v>812</v>
      </c>
      <c r="E964" s="171" t="s">
        <v>36</v>
      </c>
      <c r="F964" s="170">
        <v>35</v>
      </c>
      <c r="G964" s="172"/>
      <c r="H964" s="194"/>
      <c r="I964" s="172"/>
      <c r="J964" s="172"/>
      <c r="K964" s="258"/>
    </row>
    <row r="965" spans="1:11" ht="25.5">
      <c r="A965" s="257" t="s">
        <v>1853</v>
      </c>
      <c r="B965" s="170" t="s">
        <v>823</v>
      </c>
      <c r="C965" s="186" t="s">
        <v>34</v>
      </c>
      <c r="D965" s="186" t="s">
        <v>824</v>
      </c>
      <c r="E965" s="171" t="s">
        <v>31</v>
      </c>
      <c r="F965" s="170">
        <v>1</v>
      </c>
      <c r="G965" s="172"/>
      <c r="H965" s="194"/>
      <c r="I965" s="172"/>
      <c r="J965" s="172"/>
      <c r="K965" s="258"/>
    </row>
    <row r="966" spans="1:11" ht="38.25">
      <c r="A966" s="257" t="s">
        <v>1854</v>
      </c>
      <c r="B966" s="170" t="s">
        <v>826</v>
      </c>
      <c r="C966" s="186" t="s">
        <v>34</v>
      </c>
      <c r="D966" s="186" t="s">
        <v>827</v>
      </c>
      <c r="E966" s="171" t="s">
        <v>36</v>
      </c>
      <c r="F966" s="170">
        <v>17</v>
      </c>
      <c r="G966" s="172"/>
      <c r="H966" s="194"/>
      <c r="I966" s="172"/>
      <c r="J966" s="172"/>
      <c r="K966" s="258"/>
    </row>
    <row r="967" spans="1:11" ht="38.25">
      <c r="A967" s="257" t="s">
        <v>1855</v>
      </c>
      <c r="B967" s="170" t="s">
        <v>781</v>
      </c>
      <c r="C967" s="186" t="s">
        <v>43</v>
      </c>
      <c r="D967" s="186" t="s">
        <v>782</v>
      </c>
      <c r="E967" s="171" t="s">
        <v>36</v>
      </c>
      <c r="F967" s="170">
        <v>20</v>
      </c>
      <c r="G967" s="172"/>
      <c r="H967" s="194"/>
      <c r="I967" s="172"/>
      <c r="J967" s="172"/>
      <c r="K967" s="258"/>
    </row>
    <row r="968" spans="1:11" ht="38.25">
      <c r="A968" s="257" t="s">
        <v>1856</v>
      </c>
      <c r="B968" s="170" t="s">
        <v>1645</v>
      </c>
      <c r="C968" s="186" t="s">
        <v>43</v>
      </c>
      <c r="D968" s="186" t="s">
        <v>1646</v>
      </c>
      <c r="E968" s="171" t="s">
        <v>36</v>
      </c>
      <c r="F968" s="170">
        <v>10</v>
      </c>
      <c r="G968" s="172"/>
      <c r="H968" s="194"/>
      <c r="I968" s="172"/>
      <c r="J968" s="172"/>
      <c r="K968" s="258"/>
    </row>
    <row r="969" spans="1:11" ht="38.25">
      <c r="A969" s="257" t="s">
        <v>1857</v>
      </c>
      <c r="B969" s="170" t="s">
        <v>1858</v>
      </c>
      <c r="C969" s="186" t="s">
        <v>43</v>
      </c>
      <c r="D969" s="186" t="s">
        <v>1859</v>
      </c>
      <c r="E969" s="171" t="s">
        <v>36</v>
      </c>
      <c r="F969" s="170">
        <v>1</v>
      </c>
      <c r="G969" s="172"/>
      <c r="H969" s="194"/>
      <c r="I969" s="172"/>
      <c r="J969" s="172"/>
      <c r="K969" s="258"/>
    </row>
    <row r="970" spans="1:11" ht="38.25">
      <c r="A970" s="257" t="s">
        <v>1860</v>
      </c>
      <c r="B970" s="170" t="s">
        <v>1861</v>
      </c>
      <c r="C970" s="186" t="s">
        <v>43</v>
      </c>
      <c r="D970" s="186" t="s">
        <v>1862</v>
      </c>
      <c r="E970" s="171" t="s">
        <v>36</v>
      </c>
      <c r="F970" s="170">
        <v>1</v>
      </c>
      <c r="G970" s="172"/>
      <c r="H970" s="194"/>
      <c r="I970" s="172"/>
      <c r="J970" s="172"/>
      <c r="K970" s="258"/>
    </row>
    <row r="971" spans="1:11" ht="38.25">
      <c r="A971" s="257" t="s">
        <v>1863</v>
      </c>
      <c r="B971" s="170" t="s">
        <v>769</v>
      </c>
      <c r="C971" s="186" t="s">
        <v>43</v>
      </c>
      <c r="D971" s="186" t="s">
        <v>770</v>
      </c>
      <c r="E971" s="171" t="s">
        <v>36</v>
      </c>
      <c r="F971" s="170">
        <v>1</v>
      </c>
      <c r="G971" s="172"/>
      <c r="H971" s="194"/>
      <c r="I971" s="172"/>
      <c r="J971" s="172"/>
      <c r="K971" s="258"/>
    </row>
    <row r="972" spans="1:11" ht="38.25">
      <c r="A972" s="257" t="s">
        <v>1864</v>
      </c>
      <c r="B972" s="170" t="s">
        <v>775</v>
      </c>
      <c r="C972" s="186" t="s">
        <v>43</v>
      </c>
      <c r="D972" s="186" t="s">
        <v>776</v>
      </c>
      <c r="E972" s="171" t="s">
        <v>36</v>
      </c>
      <c r="F972" s="170">
        <v>9</v>
      </c>
      <c r="G972" s="172"/>
      <c r="H972" s="194"/>
      <c r="I972" s="172"/>
      <c r="J972" s="172"/>
      <c r="K972" s="258"/>
    </row>
    <row r="973" spans="1:11" ht="38.25">
      <c r="A973" s="257" t="s">
        <v>1865</v>
      </c>
      <c r="B973" s="170" t="s">
        <v>757</v>
      </c>
      <c r="C973" s="186" t="s">
        <v>43</v>
      </c>
      <c r="D973" s="186" t="s">
        <v>758</v>
      </c>
      <c r="E973" s="171" t="s">
        <v>144</v>
      </c>
      <c r="F973" s="170">
        <v>35.869999999999997</v>
      </c>
      <c r="G973" s="172"/>
      <c r="H973" s="194"/>
      <c r="I973" s="172"/>
      <c r="J973" s="172"/>
      <c r="K973" s="258"/>
    </row>
    <row r="974" spans="1:11" ht="38.25">
      <c r="A974" s="257" t="s">
        <v>1866</v>
      </c>
      <c r="B974" s="170" t="s">
        <v>763</v>
      </c>
      <c r="C974" s="186" t="s">
        <v>43</v>
      </c>
      <c r="D974" s="186" t="s">
        <v>764</v>
      </c>
      <c r="E974" s="171" t="s">
        <v>144</v>
      </c>
      <c r="F974" s="170">
        <v>73.709999999999994</v>
      </c>
      <c r="G974" s="172"/>
      <c r="H974" s="194"/>
      <c r="I974" s="172"/>
      <c r="J974" s="172"/>
      <c r="K974" s="258"/>
    </row>
    <row r="975" spans="1:11" ht="38.25">
      <c r="A975" s="257" t="s">
        <v>1867</v>
      </c>
      <c r="B975" s="170" t="s">
        <v>1868</v>
      </c>
      <c r="C975" s="186" t="s">
        <v>34</v>
      </c>
      <c r="D975" s="186" t="s">
        <v>1869</v>
      </c>
      <c r="E975" s="171" t="s">
        <v>36</v>
      </c>
      <c r="F975" s="170">
        <v>12</v>
      </c>
      <c r="G975" s="172"/>
      <c r="H975" s="194"/>
      <c r="I975" s="172"/>
      <c r="J975" s="172"/>
      <c r="K975" s="258"/>
    </row>
    <row r="976" spans="1:11" ht="38.25">
      <c r="A976" s="257" t="s">
        <v>1870</v>
      </c>
      <c r="B976" s="170" t="s">
        <v>805</v>
      </c>
      <c r="C976" s="186" t="s">
        <v>43</v>
      </c>
      <c r="D976" s="186" t="s">
        <v>806</v>
      </c>
      <c r="E976" s="171" t="s">
        <v>36</v>
      </c>
      <c r="F976" s="170">
        <v>32</v>
      </c>
      <c r="G976" s="172"/>
      <c r="H976" s="194"/>
      <c r="I976" s="172"/>
      <c r="J976" s="172"/>
      <c r="K976" s="258"/>
    </row>
    <row r="977" spans="1:11" ht="38.25">
      <c r="A977" s="257" t="s">
        <v>1871</v>
      </c>
      <c r="B977" s="170" t="s">
        <v>1132</v>
      </c>
      <c r="C977" s="186" t="s">
        <v>43</v>
      </c>
      <c r="D977" s="186" t="s">
        <v>1133</v>
      </c>
      <c r="E977" s="171" t="s">
        <v>36</v>
      </c>
      <c r="F977" s="170">
        <v>3</v>
      </c>
      <c r="G977" s="172"/>
      <c r="H977" s="194"/>
      <c r="I977" s="172"/>
      <c r="J977" s="172"/>
      <c r="K977" s="258"/>
    </row>
    <row r="978" spans="1:11" ht="38.25">
      <c r="A978" s="257" t="s">
        <v>1872</v>
      </c>
      <c r="B978" s="170" t="s">
        <v>772</v>
      </c>
      <c r="C978" s="186" t="s">
        <v>43</v>
      </c>
      <c r="D978" s="186" t="s">
        <v>773</v>
      </c>
      <c r="E978" s="171" t="s">
        <v>36</v>
      </c>
      <c r="F978" s="170">
        <v>2</v>
      </c>
      <c r="G978" s="172"/>
      <c r="H978" s="194"/>
      <c r="I978" s="172"/>
      <c r="J978" s="172"/>
      <c r="K978" s="258"/>
    </row>
    <row r="979" spans="1:11" ht="38.25">
      <c r="A979" s="257" t="s">
        <v>1873</v>
      </c>
      <c r="B979" s="170" t="s">
        <v>1874</v>
      </c>
      <c r="C979" s="186" t="s">
        <v>34</v>
      </c>
      <c r="D979" s="186" t="s">
        <v>1875</v>
      </c>
      <c r="E979" s="171" t="s">
        <v>36</v>
      </c>
      <c r="F979" s="170">
        <v>2</v>
      </c>
      <c r="G979" s="172"/>
      <c r="H979" s="194"/>
      <c r="I979" s="172"/>
      <c r="J979" s="172"/>
      <c r="K979" s="258"/>
    </row>
    <row r="980" spans="1:11" ht="38.25">
      <c r="A980" s="257" t="s">
        <v>1876</v>
      </c>
      <c r="B980" s="170" t="s">
        <v>799</v>
      </c>
      <c r="C980" s="186" t="s">
        <v>43</v>
      </c>
      <c r="D980" s="186" t="s">
        <v>800</v>
      </c>
      <c r="E980" s="171" t="s">
        <v>36</v>
      </c>
      <c r="F980" s="170">
        <v>2</v>
      </c>
      <c r="G980" s="172"/>
      <c r="H980" s="194"/>
      <c r="I980" s="172"/>
      <c r="J980" s="172"/>
      <c r="K980" s="258"/>
    </row>
    <row r="981" spans="1:11" ht="25.5">
      <c r="A981" s="257" t="s">
        <v>1877</v>
      </c>
      <c r="B981" s="170" t="s">
        <v>832</v>
      </c>
      <c r="C981" s="186" t="s">
        <v>34</v>
      </c>
      <c r="D981" s="186" t="s">
        <v>833</v>
      </c>
      <c r="E981" s="171" t="s">
        <v>31</v>
      </c>
      <c r="F981" s="170">
        <v>10</v>
      </c>
      <c r="G981" s="172"/>
      <c r="H981" s="194"/>
      <c r="I981" s="172"/>
      <c r="J981" s="172"/>
      <c r="K981" s="258"/>
    </row>
    <row r="982" spans="1:11">
      <c r="A982" s="259" t="s">
        <v>1878</v>
      </c>
      <c r="B982" s="187"/>
      <c r="C982" s="187"/>
      <c r="D982" s="187" t="s">
        <v>1879</v>
      </c>
      <c r="E982" s="187"/>
      <c r="F982" s="169"/>
      <c r="G982" s="187"/>
      <c r="H982" s="193"/>
      <c r="I982" s="187"/>
      <c r="J982" s="168"/>
      <c r="K982" s="260"/>
    </row>
    <row r="983" spans="1:11" ht="38.25">
      <c r="A983" s="257" t="s">
        <v>1880</v>
      </c>
      <c r="B983" s="170" t="s">
        <v>846</v>
      </c>
      <c r="C983" s="186" t="s">
        <v>43</v>
      </c>
      <c r="D983" s="186" t="s">
        <v>847</v>
      </c>
      <c r="E983" s="171" t="s">
        <v>36</v>
      </c>
      <c r="F983" s="170">
        <v>16</v>
      </c>
      <c r="G983" s="172"/>
      <c r="H983" s="194"/>
      <c r="I983" s="172"/>
      <c r="J983" s="172"/>
      <c r="K983" s="258"/>
    </row>
    <row r="984" spans="1:11" ht="25.5">
      <c r="A984" s="257" t="s">
        <v>1881</v>
      </c>
      <c r="B984" s="170" t="s">
        <v>864</v>
      </c>
      <c r="C984" s="186" t="s">
        <v>34</v>
      </c>
      <c r="D984" s="186" t="s">
        <v>865</v>
      </c>
      <c r="E984" s="171" t="s">
        <v>36</v>
      </c>
      <c r="F984" s="170">
        <v>16</v>
      </c>
      <c r="G984" s="172"/>
      <c r="H984" s="194"/>
      <c r="I984" s="172"/>
      <c r="J984" s="172"/>
      <c r="K984" s="258"/>
    </row>
    <row r="985" spans="1:11" ht="25.5">
      <c r="A985" s="257" t="s">
        <v>1882</v>
      </c>
      <c r="B985" s="170" t="s">
        <v>837</v>
      </c>
      <c r="C985" s="186" t="s">
        <v>43</v>
      </c>
      <c r="D985" s="186" t="s">
        <v>838</v>
      </c>
      <c r="E985" s="171" t="s">
        <v>144</v>
      </c>
      <c r="F985" s="170">
        <v>134.9</v>
      </c>
      <c r="G985" s="172"/>
      <c r="H985" s="194"/>
      <c r="I985" s="172"/>
      <c r="J985" s="172"/>
      <c r="K985" s="258"/>
    </row>
    <row r="986" spans="1:11" ht="25.5">
      <c r="A986" s="257" t="s">
        <v>1883</v>
      </c>
      <c r="B986" s="170" t="s">
        <v>840</v>
      </c>
      <c r="C986" s="186" t="s">
        <v>43</v>
      </c>
      <c r="D986" s="186" t="s">
        <v>841</v>
      </c>
      <c r="E986" s="171" t="s">
        <v>144</v>
      </c>
      <c r="F986" s="170">
        <v>17.13</v>
      </c>
      <c r="G986" s="172"/>
      <c r="H986" s="194"/>
      <c r="I986" s="172"/>
      <c r="J986" s="172"/>
      <c r="K986" s="258"/>
    </row>
    <row r="987" spans="1:11" ht="38.25">
      <c r="A987" s="257" t="s">
        <v>1884</v>
      </c>
      <c r="B987" s="170" t="s">
        <v>852</v>
      </c>
      <c r="C987" s="186" t="s">
        <v>43</v>
      </c>
      <c r="D987" s="186" t="s">
        <v>853</v>
      </c>
      <c r="E987" s="171" t="s">
        <v>36</v>
      </c>
      <c r="F987" s="170">
        <v>32</v>
      </c>
      <c r="G987" s="172"/>
      <c r="H987" s="194"/>
      <c r="I987" s="172"/>
      <c r="J987" s="172"/>
      <c r="K987" s="258"/>
    </row>
    <row r="988" spans="1:11" ht="25.5">
      <c r="A988" s="257" t="s">
        <v>1885</v>
      </c>
      <c r="B988" s="170" t="s">
        <v>855</v>
      </c>
      <c r="C988" s="186" t="s">
        <v>34</v>
      </c>
      <c r="D988" s="186" t="s">
        <v>856</v>
      </c>
      <c r="E988" s="171" t="s">
        <v>36</v>
      </c>
      <c r="F988" s="170">
        <v>16</v>
      </c>
      <c r="G988" s="172"/>
      <c r="H988" s="194"/>
      <c r="I988" s="172"/>
      <c r="J988" s="172"/>
      <c r="K988" s="258"/>
    </row>
    <row r="989" spans="1:11">
      <c r="A989" s="259" t="s">
        <v>1886</v>
      </c>
      <c r="B989" s="187"/>
      <c r="C989" s="187"/>
      <c r="D989" s="187" t="s">
        <v>876</v>
      </c>
      <c r="E989" s="187"/>
      <c r="F989" s="169"/>
      <c r="G989" s="187"/>
      <c r="H989" s="193"/>
      <c r="I989" s="187"/>
      <c r="J989" s="168"/>
      <c r="K989" s="260"/>
    </row>
    <row r="990" spans="1:11" ht="25.5">
      <c r="A990" s="257" t="s">
        <v>1887</v>
      </c>
      <c r="B990" s="170" t="s">
        <v>890</v>
      </c>
      <c r="C990" s="186" t="s">
        <v>43</v>
      </c>
      <c r="D990" s="186" t="s">
        <v>891</v>
      </c>
      <c r="E990" s="171" t="s">
        <v>36</v>
      </c>
      <c r="F990" s="170">
        <v>1</v>
      </c>
      <c r="G990" s="172"/>
      <c r="H990" s="194"/>
      <c r="I990" s="172"/>
      <c r="J990" s="172"/>
      <c r="K990" s="258"/>
    </row>
    <row r="991" spans="1:11" ht="38.25">
      <c r="A991" s="257" t="s">
        <v>1888</v>
      </c>
      <c r="B991" s="170" t="s">
        <v>896</v>
      </c>
      <c r="C991" s="186" t="s">
        <v>43</v>
      </c>
      <c r="D991" s="186" t="s">
        <v>897</v>
      </c>
      <c r="E991" s="171" t="s">
        <v>144</v>
      </c>
      <c r="F991" s="170">
        <v>8</v>
      </c>
      <c r="G991" s="172"/>
      <c r="H991" s="194"/>
      <c r="I991" s="172"/>
      <c r="J991" s="172"/>
      <c r="K991" s="258"/>
    </row>
    <row r="992" spans="1:11" ht="38.25">
      <c r="A992" s="257" t="s">
        <v>1889</v>
      </c>
      <c r="B992" s="170" t="s">
        <v>902</v>
      </c>
      <c r="C992" s="186" t="s">
        <v>43</v>
      </c>
      <c r="D992" s="186" t="s">
        <v>903</v>
      </c>
      <c r="E992" s="171" t="s">
        <v>144</v>
      </c>
      <c r="F992" s="170">
        <v>8</v>
      </c>
      <c r="G992" s="172"/>
      <c r="H992" s="194"/>
      <c r="I992" s="172"/>
      <c r="J992" s="172"/>
      <c r="K992" s="258"/>
    </row>
    <row r="993" spans="1:11" ht="25.5">
      <c r="A993" s="257" t="s">
        <v>1890</v>
      </c>
      <c r="B993" s="170" t="s">
        <v>936</v>
      </c>
      <c r="C993" s="186" t="s">
        <v>34</v>
      </c>
      <c r="D993" s="186" t="s">
        <v>937</v>
      </c>
      <c r="E993" s="171" t="s">
        <v>36</v>
      </c>
      <c r="F993" s="170">
        <v>4</v>
      </c>
      <c r="G993" s="172"/>
      <c r="H993" s="194"/>
      <c r="I993" s="172"/>
      <c r="J993" s="172"/>
      <c r="K993" s="258"/>
    </row>
    <row r="994" spans="1:11">
      <c r="A994" s="257" t="s">
        <v>1891</v>
      </c>
      <c r="B994" s="170" t="s">
        <v>1201</v>
      </c>
      <c r="C994" s="186" t="s">
        <v>34</v>
      </c>
      <c r="D994" s="186" t="s">
        <v>1202</v>
      </c>
      <c r="E994" s="171" t="s">
        <v>80</v>
      </c>
      <c r="F994" s="170">
        <v>1</v>
      </c>
      <c r="G994" s="172"/>
      <c r="H994" s="194"/>
      <c r="I994" s="172"/>
      <c r="J994" s="172"/>
      <c r="K994" s="258"/>
    </row>
    <row r="995" spans="1:11">
      <c r="A995" s="257" t="s">
        <v>1892</v>
      </c>
      <c r="B995" s="170" t="s">
        <v>944</v>
      </c>
      <c r="C995" s="186" t="s">
        <v>34</v>
      </c>
      <c r="D995" s="186" t="s">
        <v>945</v>
      </c>
      <c r="E995" s="171" t="s">
        <v>80</v>
      </c>
      <c r="F995" s="170">
        <v>1</v>
      </c>
      <c r="G995" s="172"/>
      <c r="H995" s="194"/>
      <c r="I995" s="172"/>
      <c r="J995" s="172"/>
      <c r="K995" s="258"/>
    </row>
    <row r="996" spans="1:11" ht="38.25">
      <c r="A996" s="257" t="s">
        <v>1893</v>
      </c>
      <c r="B996" s="170" t="s">
        <v>1666</v>
      </c>
      <c r="C996" s="186" t="s">
        <v>34</v>
      </c>
      <c r="D996" s="186" t="s">
        <v>1667</v>
      </c>
      <c r="E996" s="171" t="s">
        <v>36</v>
      </c>
      <c r="F996" s="170">
        <v>2</v>
      </c>
      <c r="G996" s="172"/>
      <c r="H996" s="194"/>
      <c r="I996" s="172"/>
      <c r="J996" s="172"/>
      <c r="K996" s="258"/>
    </row>
    <row r="997" spans="1:11" ht="38.25">
      <c r="A997" s="257" t="s">
        <v>1894</v>
      </c>
      <c r="B997" s="170" t="s">
        <v>929</v>
      </c>
      <c r="C997" s="186" t="s">
        <v>43</v>
      </c>
      <c r="D997" s="186" t="s">
        <v>930</v>
      </c>
      <c r="E997" s="171" t="s">
        <v>144</v>
      </c>
      <c r="F997" s="170">
        <v>32</v>
      </c>
      <c r="G997" s="172"/>
      <c r="H997" s="194"/>
      <c r="I997" s="172"/>
      <c r="J997" s="172"/>
      <c r="K997" s="258"/>
    </row>
    <row r="998" spans="1:11">
      <c r="A998" s="259" t="s">
        <v>1895</v>
      </c>
      <c r="B998" s="187"/>
      <c r="C998" s="187"/>
      <c r="D998" s="187" t="s">
        <v>23</v>
      </c>
      <c r="E998" s="187"/>
      <c r="F998" s="169"/>
      <c r="G998" s="187"/>
      <c r="H998" s="193"/>
      <c r="I998" s="187"/>
      <c r="J998" s="168"/>
      <c r="K998" s="260"/>
    </row>
    <row r="999" spans="1:11" ht="13.9" customHeight="1">
      <c r="A999" s="257" t="s">
        <v>1896</v>
      </c>
      <c r="B999" s="170" t="s">
        <v>1897</v>
      </c>
      <c r="C999" s="186" t="s">
        <v>43</v>
      </c>
      <c r="D999" s="186" t="s">
        <v>1898</v>
      </c>
      <c r="E999" s="171" t="s">
        <v>36</v>
      </c>
      <c r="F999" s="170">
        <v>72</v>
      </c>
      <c r="G999" s="172"/>
      <c r="H999" s="194"/>
      <c r="I999" s="172"/>
      <c r="J999" s="172"/>
      <c r="K999" s="258"/>
    </row>
    <row r="1000" spans="1:11" ht="38.25">
      <c r="A1000" s="257" t="s">
        <v>1899</v>
      </c>
      <c r="B1000" s="170" t="s">
        <v>1720</v>
      </c>
      <c r="C1000" s="186" t="s">
        <v>43</v>
      </c>
      <c r="D1000" s="186" t="s">
        <v>1721</v>
      </c>
      <c r="E1000" s="171" t="s">
        <v>126</v>
      </c>
      <c r="F1000" s="170">
        <v>1.07</v>
      </c>
      <c r="G1000" s="172"/>
      <c r="H1000" s="194"/>
      <c r="I1000" s="172"/>
      <c r="J1000" s="172"/>
      <c r="K1000" s="258"/>
    </row>
    <row r="1001" spans="1:11">
      <c r="A1001" s="257" t="s">
        <v>1900</v>
      </c>
      <c r="B1001" s="170" t="s">
        <v>1901</v>
      </c>
      <c r="C1001" s="186" t="s">
        <v>43</v>
      </c>
      <c r="D1001" s="186" t="s">
        <v>1902</v>
      </c>
      <c r="E1001" s="171" t="s">
        <v>126</v>
      </c>
      <c r="F1001" s="170">
        <v>7.82</v>
      </c>
      <c r="G1001" s="172"/>
      <c r="H1001" s="194"/>
      <c r="I1001" s="172"/>
      <c r="J1001" s="172"/>
      <c r="K1001" s="258"/>
    </row>
    <row r="1002" spans="1:11" ht="25.5">
      <c r="A1002" s="257" t="s">
        <v>1903</v>
      </c>
      <c r="B1002" s="170" t="s">
        <v>209</v>
      </c>
      <c r="C1002" s="186" t="s">
        <v>43</v>
      </c>
      <c r="D1002" s="186" t="s">
        <v>210</v>
      </c>
      <c r="E1002" s="171" t="s">
        <v>45</v>
      </c>
      <c r="F1002" s="170">
        <v>17.37</v>
      </c>
      <c r="G1002" s="172"/>
      <c r="H1002" s="194"/>
      <c r="I1002" s="172"/>
      <c r="J1002" s="172"/>
      <c r="K1002" s="258"/>
    </row>
    <row r="1003" spans="1:11" ht="25.5">
      <c r="A1003" s="257" t="s">
        <v>1904</v>
      </c>
      <c r="B1003" s="170" t="s">
        <v>212</v>
      </c>
      <c r="C1003" s="186" t="s">
        <v>43</v>
      </c>
      <c r="D1003" s="186" t="s">
        <v>213</v>
      </c>
      <c r="E1003" s="171" t="s">
        <v>45</v>
      </c>
      <c r="F1003" s="170">
        <v>17.37</v>
      </c>
      <c r="G1003" s="172"/>
      <c r="H1003" s="194"/>
      <c r="I1003" s="172"/>
      <c r="J1003" s="172"/>
      <c r="K1003" s="258"/>
    </row>
    <row r="1004" spans="1:11" ht="51">
      <c r="A1004" s="257" t="s">
        <v>1905</v>
      </c>
      <c r="B1004" s="170" t="s">
        <v>218</v>
      </c>
      <c r="C1004" s="186" t="s">
        <v>43</v>
      </c>
      <c r="D1004" s="186" t="s">
        <v>219</v>
      </c>
      <c r="E1004" s="171" t="s">
        <v>45</v>
      </c>
      <c r="F1004" s="170">
        <v>17.37</v>
      </c>
      <c r="G1004" s="172"/>
      <c r="H1004" s="194"/>
      <c r="I1004" s="172"/>
      <c r="J1004" s="172"/>
      <c r="K1004" s="258"/>
    </row>
    <row r="1005" spans="1:11">
      <c r="A1005" s="259" t="s">
        <v>1906</v>
      </c>
      <c r="B1005" s="187"/>
      <c r="C1005" s="187"/>
      <c r="D1005" s="187" t="s">
        <v>24</v>
      </c>
      <c r="E1005" s="187"/>
      <c r="F1005" s="169"/>
      <c r="G1005" s="187"/>
      <c r="H1005" s="193"/>
      <c r="I1005" s="187"/>
      <c r="J1005" s="168"/>
      <c r="K1005" s="260"/>
    </row>
    <row r="1006" spans="1:11">
      <c r="A1006" s="259" t="s">
        <v>1907</v>
      </c>
      <c r="B1006" s="187"/>
      <c r="C1006" s="187"/>
      <c r="D1006" s="187" t="s">
        <v>76</v>
      </c>
      <c r="E1006" s="187"/>
      <c r="F1006" s="169"/>
      <c r="G1006" s="187"/>
      <c r="H1006" s="193"/>
      <c r="I1006" s="187"/>
      <c r="J1006" s="168"/>
      <c r="K1006" s="260"/>
    </row>
    <row r="1007" spans="1:11" ht="51">
      <c r="A1007" s="257" t="s">
        <v>1908</v>
      </c>
      <c r="B1007" s="170" t="s">
        <v>100</v>
      </c>
      <c r="C1007" s="186" t="s">
        <v>43</v>
      </c>
      <c r="D1007" s="186" t="s">
        <v>101</v>
      </c>
      <c r="E1007" s="171" t="s">
        <v>45</v>
      </c>
      <c r="F1007" s="170">
        <v>126.9</v>
      </c>
      <c r="G1007" s="172"/>
      <c r="H1007" s="194"/>
      <c r="I1007" s="172"/>
      <c r="J1007" s="172"/>
      <c r="K1007" s="258"/>
    </row>
    <row r="1008" spans="1:11" ht="38.25">
      <c r="A1008" s="257" t="s">
        <v>1909</v>
      </c>
      <c r="B1008" s="170" t="s">
        <v>78</v>
      </c>
      <c r="C1008" s="186" t="s">
        <v>43</v>
      </c>
      <c r="D1008" s="186" t="s">
        <v>79</v>
      </c>
      <c r="E1008" s="171" t="s">
        <v>80</v>
      </c>
      <c r="F1008" s="170">
        <v>296.92</v>
      </c>
      <c r="G1008" s="172"/>
      <c r="H1008" s="194"/>
      <c r="I1008" s="172"/>
      <c r="J1008" s="172"/>
      <c r="K1008" s="258"/>
    </row>
    <row r="1009" spans="1:14" ht="38.25">
      <c r="A1009" s="257" t="s">
        <v>1910</v>
      </c>
      <c r="B1009" s="170" t="s">
        <v>88</v>
      </c>
      <c r="C1009" s="186" t="s">
        <v>43</v>
      </c>
      <c r="D1009" s="186" t="s">
        <v>89</v>
      </c>
      <c r="E1009" s="171" t="s">
        <v>80</v>
      </c>
      <c r="F1009" s="170">
        <v>386.64</v>
      </c>
      <c r="G1009" s="172"/>
      <c r="H1009" s="194"/>
      <c r="I1009" s="172"/>
      <c r="J1009" s="172"/>
      <c r="K1009" s="258"/>
    </row>
    <row r="1010" spans="1:14" ht="38.25">
      <c r="A1010" s="257" t="s">
        <v>1911</v>
      </c>
      <c r="B1010" s="170" t="s">
        <v>103</v>
      </c>
      <c r="C1010" s="186" t="s">
        <v>43</v>
      </c>
      <c r="D1010" s="186" t="s">
        <v>104</v>
      </c>
      <c r="E1010" s="171" t="s">
        <v>45</v>
      </c>
      <c r="F1010" s="170">
        <v>117.3</v>
      </c>
      <c r="G1010" s="172"/>
      <c r="H1010" s="194"/>
      <c r="I1010" s="172"/>
      <c r="J1010" s="172"/>
      <c r="K1010" s="258"/>
    </row>
    <row r="1011" spans="1:14" ht="38.25">
      <c r="A1011" s="257" t="s">
        <v>1912</v>
      </c>
      <c r="B1011" s="170" t="s">
        <v>85</v>
      </c>
      <c r="C1011" s="186" t="s">
        <v>43</v>
      </c>
      <c r="D1011" s="186" t="s">
        <v>86</v>
      </c>
      <c r="E1011" s="171" t="s">
        <v>80</v>
      </c>
      <c r="F1011" s="170">
        <v>319</v>
      </c>
      <c r="G1011" s="172"/>
      <c r="H1011" s="194"/>
      <c r="I1011" s="172"/>
      <c r="J1011" s="172"/>
      <c r="K1011" s="258"/>
    </row>
    <row r="1012" spans="1:14" ht="43.15" customHeight="1">
      <c r="A1012" s="257" t="s">
        <v>1913</v>
      </c>
      <c r="B1012" s="170" t="s">
        <v>118</v>
      </c>
      <c r="C1012" s="186" t="s">
        <v>43</v>
      </c>
      <c r="D1012" s="186" t="s">
        <v>119</v>
      </c>
      <c r="E1012" s="171" t="s">
        <v>80</v>
      </c>
      <c r="F1012" s="170">
        <v>157.55000000000001</v>
      </c>
      <c r="G1012" s="172"/>
      <c r="H1012" s="194"/>
      <c r="I1012" s="172"/>
      <c r="J1012" s="172"/>
      <c r="K1012" s="258"/>
    </row>
    <row r="1013" spans="1:14" ht="38.25">
      <c r="A1013" s="257" t="s">
        <v>1914</v>
      </c>
      <c r="B1013" s="170" t="s">
        <v>124</v>
      </c>
      <c r="C1013" s="186" t="s">
        <v>34</v>
      </c>
      <c r="D1013" s="186" t="s">
        <v>125</v>
      </c>
      <c r="E1013" s="171" t="s">
        <v>126</v>
      </c>
      <c r="F1013" s="170">
        <v>25.1</v>
      </c>
      <c r="G1013" s="172"/>
      <c r="H1013" s="194"/>
      <c r="I1013" s="172"/>
      <c r="J1013" s="172"/>
      <c r="K1013" s="258"/>
      <c r="N1013" s="202"/>
    </row>
    <row r="1014" spans="1:14">
      <c r="A1014" s="299" t="s">
        <v>1915</v>
      </c>
      <c r="B1014" s="300"/>
      <c r="C1014" s="300"/>
      <c r="D1014" s="300"/>
      <c r="E1014" s="300"/>
      <c r="F1014" s="300"/>
      <c r="G1014" s="300"/>
      <c r="H1014" s="300"/>
      <c r="I1014" s="300"/>
      <c r="J1014" s="300"/>
      <c r="K1014" s="301"/>
      <c r="N1014" s="203"/>
    </row>
    <row r="1015" spans="1:14">
      <c r="A1015" s="259" t="s">
        <v>40</v>
      </c>
      <c r="B1015" s="187"/>
      <c r="C1015" s="187"/>
      <c r="D1015" s="187" t="s">
        <v>12</v>
      </c>
      <c r="E1015" s="187"/>
      <c r="F1015" s="169"/>
      <c r="G1015" s="187"/>
      <c r="H1015" s="187"/>
      <c r="I1015" s="187"/>
      <c r="J1015" s="168"/>
      <c r="K1015" s="260"/>
      <c r="N1015" s="203"/>
    </row>
    <row r="1016" spans="1:14">
      <c r="A1016" s="257" t="s">
        <v>1916</v>
      </c>
      <c r="B1016" s="170" t="s">
        <v>1917</v>
      </c>
      <c r="C1016" s="186" t="s">
        <v>43</v>
      </c>
      <c r="D1016" s="186" t="s">
        <v>1918</v>
      </c>
      <c r="E1016" s="171" t="s">
        <v>45</v>
      </c>
      <c r="F1016" s="170">
        <v>1054.76</v>
      </c>
      <c r="G1016" s="172"/>
      <c r="H1016" s="194"/>
      <c r="I1016" s="172"/>
      <c r="J1016" s="172"/>
      <c r="K1016" s="258"/>
      <c r="N1016" s="202"/>
    </row>
    <row r="1017" spans="1:14" ht="25.5">
      <c r="A1017" s="257" t="s">
        <v>1919</v>
      </c>
      <c r="B1017" s="170" t="s">
        <v>1920</v>
      </c>
      <c r="C1017" s="186" t="s">
        <v>34</v>
      </c>
      <c r="D1017" s="186" t="s">
        <v>1921</v>
      </c>
      <c r="E1017" s="171" t="s">
        <v>45</v>
      </c>
      <c r="F1017" s="170">
        <v>140.79</v>
      </c>
      <c r="G1017" s="172"/>
      <c r="H1017" s="204"/>
      <c r="I1017" s="172"/>
      <c r="J1017" s="172"/>
      <c r="K1017" s="258"/>
      <c r="N1017" s="203"/>
    </row>
    <row r="1018" spans="1:14">
      <c r="A1018" s="259" t="s">
        <v>13</v>
      </c>
      <c r="B1018" s="187"/>
      <c r="C1018" s="187"/>
      <c r="D1018" s="187" t="s">
        <v>14</v>
      </c>
      <c r="E1018" s="187"/>
      <c r="F1018" s="169"/>
      <c r="G1018" s="187"/>
      <c r="H1018" s="193"/>
      <c r="I1018" s="187"/>
      <c r="J1018" s="192"/>
      <c r="K1018" s="263"/>
      <c r="N1018" s="203"/>
    </row>
    <row r="1019" spans="1:14" ht="38.25">
      <c r="A1019" s="257" t="s">
        <v>1922</v>
      </c>
      <c r="B1019" s="170" t="s">
        <v>1923</v>
      </c>
      <c r="C1019" s="186" t="s">
        <v>43</v>
      </c>
      <c r="D1019" s="186" t="s">
        <v>1924</v>
      </c>
      <c r="E1019" s="171" t="s">
        <v>45</v>
      </c>
      <c r="F1019" s="170">
        <v>13226.49</v>
      </c>
      <c r="G1019" s="172"/>
      <c r="H1019" s="194"/>
      <c r="I1019" s="195"/>
      <c r="J1019" s="172"/>
      <c r="K1019" s="264"/>
      <c r="N1019" s="203"/>
    </row>
    <row r="1020" spans="1:14" ht="25.5">
      <c r="A1020" s="257" t="s">
        <v>1925</v>
      </c>
      <c r="B1020" s="170" t="s">
        <v>1926</v>
      </c>
      <c r="C1020" s="186" t="s">
        <v>43</v>
      </c>
      <c r="D1020" s="186" t="s">
        <v>1927</v>
      </c>
      <c r="E1020" s="171" t="s">
        <v>45</v>
      </c>
      <c r="F1020" s="170">
        <v>13226.49</v>
      </c>
      <c r="G1020" s="172"/>
      <c r="H1020" s="194"/>
      <c r="I1020" s="195"/>
      <c r="J1020" s="172"/>
      <c r="K1020" s="264"/>
      <c r="N1020" s="203"/>
    </row>
    <row r="1021" spans="1:14" ht="38.25">
      <c r="A1021" s="257" t="s">
        <v>1928</v>
      </c>
      <c r="B1021" s="170" t="s">
        <v>1929</v>
      </c>
      <c r="C1021" s="186" t="s">
        <v>43</v>
      </c>
      <c r="D1021" s="186" t="s">
        <v>1930</v>
      </c>
      <c r="E1021" s="171" t="s">
        <v>126</v>
      </c>
      <c r="F1021" s="170">
        <v>3290</v>
      </c>
      <c r="G1021" s="172"/>
      <c r="H1021" s="194"/>
      <c r="I1021" s="195"/>
      <c r="J1021" s="172"/>
      <c r="K1021" s="264"/>
      <c r="N1021" s="203"/>
    </row>
    <row r="1022" spans="1:14" ht="25.5">
      <c r="A1022" s="257" t="s">
        <v>1931</v>
      </c>
      <c r="B1022" s="170" t="s">
        <v>1932</v>
      </c>
      <c r="C1022" s="186" t="s">
        <v>43</v>
      </c>
      <c r="D1022" s="186" t="s">
        <v>1933</v>
      </c>
      <c r="E1022" s="171" t="s">
        <v>126</v>
      </c>
      <c r="F1022" s="170">
        <v>3290</v>
      </c>
      <c r="G1022" s="172"/>
      <c r="H1022" s="194"/>
      <c r="I1022" s="195"/>
      <c r="J1022" s="172"/>
      <c r="K1022" s="264"/>
      <c r="N1022" s="203"/>
    </row>
    <row r="1023" spans="1:14" ht="51">
      <c r="A1023" s="257" t="s">
        <v>1934</v>
      </c>
      <c r="B1023" s="170" t="s">
        <v>1935</v>
      </c>
      <c r="C1023" s="186" t="s">
        <v>43</v>
      </c>
      <c r="D1023" s="186" t="s">
        <v>1936</v>
      </c>
      <c r="E1023" s="171" t="s">
        <v>126</v>
      </c>
      <c r="F1023" s="170">
        <v>3570</v>
      </c>
      <c r="G1023" s="172"/>
      <c r="H1023" s="194"/>
      <c r="I1023" s="195"/>
      <c r="J1023" s="172"/>
      <c r="K1023" s="264"/>
      <c r="N1023" s="203"/>
    </row>
    <row r="1024" spans="1:14" ht="26.45" customHeight="1">
      <c r="A1024" s="257" t="s">
        <v>1937</v>
      </c>
      <c r="B1024" s="170" t="s">
        <v>1938</v>
      </c>
      <c r="C1024" s="186" t="s">
        <v>34</v>
      </c>
      <c r="D1024" s="186" t="s">
        <v>1939</v>
      </c>
      <c r="E1024" s="171" t="s">
        <v>126</v>
      </c>
      <c r="F1024" s="170">
        <v>3502.78</v>
      </c>
      <c r="G1024" s="172"/>
      <c r="H1024" s="194"/>
      <c r="I1024" s="195"/>
      <c r="J1024" s="172"/>
      <c r="K1024" s="264"/>
      <c r="N1024" s="203"/>
    </row>
    <row r="1025" spans="1:14" ht="51">
      <c r="A1025" s="257" t="s">
        <v>1940</v>
      </c>
      <c r="B1025" s="170" t="s">
        <v>1941</v>
      </c>
      <c r="C1025" s="186" t="s">
        <v>43</v>
      </c>
      <c r="D1025" s="186" t="s">
        <v>1942</v>
      </c>
      <c r="E1025" s="171" t="s">
        <v>1943</v>
      </c>
      <c r="F1025" s="170">
        <v>13445.1</v>
      </c>
      <c r="G1025" s="172"/>
      <c r="H1025" s="194"/>
      <c r="I1025" s="195"/>
      <c r="J1025" s="172"/>
      <c r="K1025" s="264"/>
      <c r="N1025" s="203"/>
    </row>
    <row r="1026" spans="1:14" ht="25.5">
      <c r="A1026" s="257" t="s">
        <v>1944</v>
      </c>
      <c r="B1026" s="170" t="s">
        <v>1945</v>
      </c>
      <c r="C1026" s="186" t="s">
        <v>43</v>
      </c>
      <c r="D1026" s="186" t="s">
        <v>1946</v>
      </c>
      <c r="E1026" s="171" t="s">
        <v>1947</v>
      </c>
      <c r="F1026" s="170">
        <v>384556.56</v>
      </c>
      <c r="G1026" s="172"/>
      <c r="H1026" s="194"/>
      <c r="I1026" s="195"/>
      <c r="J1026" s="172"/>
      <c r="K1026" s="264"/>
      <c r="N1026" s="203"/>
    </row>
    <row r="1027" spans="1:14">
      <c r="A1027" s="257" t="s">
        <v>1948</v>
      </c>
      <c r="B1027" s="170" t="s">
        <v>1949</v>
      </c>
      <c r="C1027" s="186" t="s">
        <v>34</v>
      </c>
      <c r="D1027" s="186" t="s">
        <v>1950</v>
      </c>
      <c r="E1027" s="171" t="s">
        <v>126</v>
      </c>
      <c r="F1027" s="170">
        <v>1051.6400000000001</v>
      </c>
      <c r="G1027" s="172"/>
      <c r="H1027" s="194"/>
      <c r="I1027" s="195"/>
      <c r="J1027" s="172"/>
      <c r="K1027" s="264"/>
      <c r="N1027" s="203"/>
    </row>
    <row r="1028" spans="1:14">
      <c r="A1028" s="257" t="s">
        <v>1951</v>
      </c>
      <c r="B1028" s="170" t="s">
        <v>1952</v>
      </c>
      <c r="C1028" s="186" t="s">
        <v>43</v>
      </c>
      <c r="D1028" s="186" t="s">
        <v>1953</v>
      </c>
      <c r="E1028" s="171" t="s">
        <v>126</v>
      </c>
      <c r="F1028" s="170">
        <v>46.09</v>
      </c>
      <c r="G1028" s="172"/>
      <c r="H1028" s="194"/>
      <c r="I1028" s="195"/>
      <c r="J1028" s="172"/>
      <c r="K1028" s="264"/>
      <c r="N1028" s="203"/>
    </row>
    <row r="1029" spans="1:14" ht="25.5">
      <c r="A1029" s="257" t="s">
        <v>1954</v>
      </c>
      <c r="B1029" s="170" t="s">
        <v>1955</v>
      </c>
      <c r="C1029" s="186" t="s">
        <v>43</v>
      </c>
      <c r="D1029" s="186" t="s">
        <v>1956</v>
      </c>
      <c r="E1029" s="171" t="s">
        <v>45</v>
      </c>
      <c r="F1029" s="170">
        <v>460.87</v>
      </c>
      <c r="G1029" s="172"/>
      <c r="H1029" s="194"/>
      <c r="I1029" s="195"/>
      <c r="J1029" s="172"/>
      <c r="K1029" s="264"/>
      <c r="N1029" s="203"/>
    </row>
    <row r="1030" spans="1:14" ht="25.5">
      <c r="A1030" s="257" t="s">
        <v>1957</v>
      </c>
      <c r="B1030" s="170" t="s">
        <v>201</v>
      </c>
      <c r="C1030" s="186" t="s">
        <v>43</v>
      </c>
      <c r="D1030" s="186" t="s">
        <v>202</v>
      </c>
      <c r="E1030" s="171" t="s">
        <v>45</v>
      </c>
      <c r="F1030" s="170">
        <v>460.87</v>
      </c>
      <c r="G1030" s="172"/>
      <c r="H1030" s="194"/>
      <c r="I1030" s="195"/>
      <c r="J1030" s="172"/>
      <c r="K1030" s="264"/>
      <c r="N1030" s="203"/>
    </row>
    <row r="1031" spans="1:14" ht="25.5">
      <c r="A1031" s="257" t="s">
        <v>1958</v>
      </c>
      <c r="B1031" s="170" t="s">
        <v>1959</v>
      </c>
      <c r="C1031" s="186" t="s">
        <v>43</v>
      </c>
      <c r="D1031" s="186" t="s">
        <v>1960</v>
      </c>
      <c r="E1031" s="171" t="s">
        <v>126</v>
      </c>
      <c r="F1031" s="170">
        <v>24.03</v>
      </c>
      <c r="G1031" s="172"/>
      <c r="H1031" s="194"/>
      <c r="I1031" s="195"/>
      <c r="J1031" s="172"/>
      <c r="K1031" s="264"/>
      <c r="N1031" s="202"/>
    </row>
    <row r="1032" spans="1:14">
      <c r="A1032" s="257" t="s">
        <v>1961</v>
      </c>
      <c r="B1032" s="170" t="s">
        <v>1962</v>
      </c>
      <c r="C1032" s="186" t="s">
        <v>43</v>
      </c>
      <c r="D1032" s="186" t="s">
        <v>1963</v>
      </c>
      <c r="E1032" s="171" t="s">
        <v>36</v>
      </c>
      <c r="F1032" s="170">
        <v>286</v>
      </c>
      <c r="G1032" s="172"/>
      <c r="H1032" s="194"/>
      <c r="I1032" s="195"/>
      <c r="J1032" s="172"/>
      <c r="K1032" s="264"/>
      <c r="N1032" s="202"/>
    </row>
    <row r="1033" spans="1:14">
      <c r="A1033" s="259" t="s">
        <v>74</v>
      </c>
      <c r="B1033" s="187"/>
      <c r="C1033" s="187"/>
      <c r="D1033" s="187" t="s">
        <v>15</v>
      </c>
      <c r="E1033" s="187"/>
      <c r="F1033" s="169"/>
      <c r="G1033" s="187"/>
      <c r="H1033" s="193"/>
      <c r="I1033" s="187"/>
      <c r="J1033" s="192"/>
      <c r="K1033" s="263"/>
      <c r="N1033" s="203"/>
    </row>
    <row r="1034" spans="1:14">
      <c r="A1034" s="259" t="s">
        <v>1964</v>
      </c>
      <c r="B1034" s="187"/>
      <c r="C1034" s="187"/>
      <c r="D1034" s="187" t="s">
        <v>1965</v>
      </c>
      <c r="E1034" s="187"/>
      <c r="F1034" s="169"/>
      <c r="G1034" s="187"/>
      <c r="H1034" s="193"/>
      <c r="I1034" s="187"/>
      <c r="J1034" s="192"/>
      <c r="K1034" s="263"/>
      <c r="N1034" s="203"/>
    </row>
    <row r="1035" spans="1:14" ht="38.25">
      <c r="A1035" s="257" t="s">
        <v>1966</v>
      </c>
      <c r="B1035" s="170" t="s">
        <v>1967</v>
      </c>
      <c r="C1035" s="186" t="s">
        <v>43</v>
      </c>
      <c r="D1035" s="186" t="s">
        <v>1968</v>
      </c>
      <c r="E1035" s="171" t="s">
        <v>144</v>
      </c>
      <c r="F1035" s="170">
        <v>268.29000000000002</v>
      </c>
      <c r="G1035" s="172"/>
      <c r="H1035" s="194"/>
      <c r="I1035" s="195"/>
      <c r="J1035" s="172"/>
      <c r="K1035" s="264"/>
      <c r="N1035" s="203"/>
    </row>
    <row r="1036" spans="1:14" ht="38.25">
      <c r="A1036" s="257" t="s">
        <v>1969</v>
      </c>
      <c r="B1036" s="170" t="s">
        <v>1970</v>
      </c>
      <c r="C1036" s="186" t="s">
        <v>43</v>
      </c>
      <c r="D1036" s="186" t="s">
        <v>1971</v>
      </c>
      <c r="E1036" s="171" t="s">
        <v>126</v>
      </c>
      <c r="F1036" s="170">
        <v>828.24</v>
      </c>
      <c r="G1036" s="172"/>
      <c r="H1036" s="194"/>
      <c r="I1036" s="195"/>
      <c r="J1036" s="172"/>
      <c r="K1036" s="264"/>
      <c r="N1036" s="203"/>
    </row>
    <row r="1037" spans="1:14" ht="38.25">
      <c r="A1037" s="257" t="s">
        <v>1972</v>
      </c>
      <c r="B1037" s="170" t="s">
        <v>1973</v>
      </c>
      <c r="C1037" s="186" t="s">
        <v>43</v>
      </c>
      <c r="D1037" s="186" t="s">
        <v>1974</v>
      </c>
      <c r="E1037" s="171" t="s">
        <v>126</v>
      </c>
      <c r="F1037" s="170">
        <v>242.45</v>
      </c>
      <c r="G1037" s="172"/>
      <c r="H1037" s="194"/>
      <c r="I1037" s="195"/>
      <c r="J1037" s="172"/>
      <c r="K1037" s="264"/>
      <c r="N1037" s="203"/>
    </row>
    <row r="1038" spans="1:14" ht="25.5">
      <c r="A1038" s="257" t="s">
        <v>1975</v>
      </c>
      <c r="B1038" s="170" t="s">
        <v>1976</v>
      </c>
      <c r="C1038" s="186" t="s">
        <v>43</v>
      </c>
      <c r="D1038" s="186" t="s">
        <v>1977</v>
      </c>
      <c r="E1038" s="171" t="s">
        <v>45</v>
      </c>
      <c r="F1038" s="170">
        <v>267.32</v>
      </c>
      <c r="G1038" s="172"/>
      <c r="H1038" s="194"/>
      <c r="I1038" s="195"/>
      <c r="J1038" s="172"/>
      <c r="K1038" s="264"/>
      <c r="N1038" s="203"/>
    </row>
    <row r="1039" spans="1:14" ht="38.25">
      <c r="A1039" s="257" t="s">
        <v>1978</v>
      </c>
      <c r="B1039" s="170" t="s">
        <v>1979</v>
      </c>
      <c r="C1039" s="186" t="s">
        <v>43</v>
      </c>
      <c r="D1039" s="186" t="s">
        <v>1980</v>
      </c>
      <c r="E1039" s="171" t="s">
        <v>126</v>
      </c>
      <c r="F1039" s="170">
        <v>78.08</v>
      </c>
      <c r="G1039" s="172"/>
      <c r="H1039" s="194"/>
      <c r="I1039" s="195"/>
      <c r="J1039" s="172"/>
      <c r="K1039" s="264"/>
      <c r="N1039" s="203"/>
    </row>
    <row r="1040" spans="1:14" ht="25.5">
      <c r="A1040" s="257" t="s">
        <v>1981</v>
      </c>
      <c r="B1040" s="170" t="s">
        <v>1982</v>
      </c>
      <c r="C1040" s="186" t="s">
        <v>43</v>
      </c>
      <c r="D1040" s="186" t="s">
        <v>1983</v>
      </c>
      <c r="E1040" s="171" t="s">
        <v>45</v>
      </c>
      <c r="F1040" s="170">
        <v>226.06</v>
      </c>
      <c r="G1040" s="172"/>
      <c r="H1040" s="194"/>
      <c r="I1040" s="195"/>
      <c r="J1040" s="172"/>
      <c r="K1040" s="264"/>
      <c r="N1040" s="203"/>
    </row>
    <row r="1041" spans="1:14" ht="38.25">
      <c r="A1041" s="257" t="s">
        <v>1984</v>
      </c>
      <c r="B1041" s="170" t="s">
        <v>1985</v>
      </c>
      <c r="C1041" s="186" t="s">
        <v>43</v>
      </c>
      <c r="D1041" s="186" t="s">
        <v>1986</v>
      </c>
      <c r="E1041" s="171" t="s">
        <v>45</v>
      </c>
      <c r="F1041" s="170">
        <v>1186.23</v>
      </c>
      <c r="G1041" s="172"/>
      <c r="H1041" s="194"/>
      <c r="I1041" s="195"/>
      <c r="J1041" s="172"/>
      <c r="K1041" s="264"/>
      <c r="N1041" s="203"/>
    </row>
    <row r="1042" spans="1:14" ht="26.45" customHeight="1">
      <c r="A1042" s="257" t="s">
        <v>1987</v>
      </c>
      <c r="B1042" s="170" t="s">
        <v>1988</v>
      </c>
      <c r="C1042" s="186" t="s">
        <v>43</v>
      </c>
      <c r="D1042" s="186" t="s">
        <v>1989</v>
      </c>
      <c r="E1042" s="171" t="s">
        <v>45</v>
      </c>
      <c r="F1042" s="170">
        <v>375.59</v>
      </c>
      <c r="G1042" s="172"/>
      <c r="H1042" s="194"/>
      <c r="I1042" s="195"/>
      <c r="J1042" s="172"/>
      <c r="K1042" s="264"/>
      <c r="N1042" s="203"/>
    </row>
    <row r="1043" spans="1:14" ht="25.5">
      <c r="A1043" s="257" t="s">
        <v>1990</v>
      </c>
      <c r="B1043" s="170" t="s">
        <v>1991</v>
      </c>
      <c r="C1043" s="186" t="s">
        <v>43</v>
      </c>
      <c r="D1043" s="186" t="s">
        <v>1992</v>
      </c>
      <c r="E1043" s="171" t="s">
        <v>80</v>
      </c>
      <c r="F1043" s="170">
        <v>970.55</v>
      </c>
      <c r="G1043" s="172"/>
      <c r="H1043" s="194"/>
      <c r="I1043" s="195"/>
      <c r="J1043" s="172"/>
      <c r="K1043" s="264"/>
      <c r="N1043" s="203"/>
    </row>
    <row r="1044" spans="1:14" ht="25.5">
      <c r="A1044" s="257" t="s">
        <v>1993</v>
      </c>
      <c r="B1044" s="170" t="s">
        <v>1994</v>
      </c>
      <c r="C1044" s="186" t="s">
        <v>43</v>
      </c>
      <c r="D1044" s="186" t="s">
        <v>1995</v>
      </c>
      <c r="E1044" s="171" t="s">
        <v>80</v>
      </c>
      <c r="F1044" s="170">
        <v>434.18</v>
      </c>
      <c r="G1044" s="172"/>
      <c r="H1044" s="194"/>
      <c r="I1044" s="195"/>
      <c r="J1044" s="172"/>
      <c r="K1044" s="264"/>
      <c r="N1044" s="203"/>
    </row>
    <row r="1045" spans="1:14" ht="25.5">
      <c r="A1045" s="257" t="s">
        <v>1996</v>
      </c>
      <c r="B1045" s="170" t="s">
        <v>1997</v>
      </c>
      <c r="C1045" s="186" t="s">
        <v>43</v>
      </c>
      <c r="D1045" s="186" t="s">
        <v>1998</v>
      </c>
      <c r="E1045" s="171" t="s">
        <v>80</v>
      </c>
      <c r="F1045" s="170">
        <v>344.37</v>
      </c>
      <c r="G1045" s="172"/>
      <c r="H1045" s="194"/>
      <c r="I1045" s="195"/>
      <c r="J1045" s="172"/>
      <c r="K1045" s="264"/>
      <c r="N1045" s="203"/>
    </row>
    <row r="1046" spans="1:14" ht="25.5">
      <c r="A1046" s="257" t="s">
        <v>1999</v>
      </c>
      <c r="B1046" s="170" t="s">
        <v>2000</v>
      </c>
      <c r="C1046" s="186" t="s">
        <v>43</v>
      </c>
      <c r="D1046" s="186" t="s">
        <v>2001</v>
      </c>
      <c r="E1046" s="171" t="s">
        <v>80</v>
      </c>
      <c r="F1046" s="170">
        <v>3953.82</v>
      </c>
      <c r="G1046" s="172"/>
      <c r="H1046" s="194"/>
      <c r="I1046" s="195"/>
      <c r="J1046" s="172"/>
      <c r="K1046" s="264"/>
      <c r="N1046" s="203"/>
    </row>
    <row r="1047" spans="1:14" ht="25.5">
      <c r="A1047" s="257" t="s">
        <v>2002</v>
      </c>
      <c r="B1047" s="170" t="s">
        <v>2003</v>
      </c>
      <c r="C1047" s="186" t="s">
        <v>43</v>
      </c>
      <c r="D1047" s="186" t="s">
        <v>2004</v>
      </c>
      <c r="E1047" s="171" t="s">
        <v>80</v>
      </c>
      <c r="F1047" s="170">
        <v>2615.46</v>
      </c>
      <c r="G1047" s="172"/>
      <c r="H1047" s="194"/>
      <c r="I1047" s="195"/>
      <c r="J1047" s="172"/>
      <c r="K1047" s="264"/>
      <c r="N1047" s="203"/>
    </row>
    <row r="1048" spans="1:14" ht="38.25">
      <c r="A1048" s="257" t="s">
        <v>2005</v>
      </c>
      <c r="B1048" s="170" t="s">
        <v>78</v>
      </c>
      <c r="C1048" s="186" t="s">
        <v>43</v>
      </c>
      <c r="D1048" s="186" t="s">
        <v>79</v>
      </c>
      <c r="E1048" s="171" t="s">
        <v>80</v>
      </c>
      <c r="F1048" s="170">
        <v>773.55</v>
      </c>
      <c r="G1048" s="172"/>
      <c r="H1048" s="194"/>
      <c r="I1048" s="195"/>
      <c r="J1048" s="172"/>
      <c r="K1048" s="264"/>
      <c r="N1048" s="203"/>
    </row>
    <row r="1049" spans="1:14" ht="38.25">
      <c r="A1049" s="257" t="s">
        <v>2006</v>
      </c>
      <c r="B1049" s="170" t="s">
        <v>88</v>
      </c>
      <c r="C1049" s="186" t="s">
        <v>43</v>
      </c>
      <c r="D1049" s="186" t="s">
        <v>89</v>
      </c>
      <c r="E1049" s="171" t="s">
        <v>80</v>
      </c>
      <c r="F1049" s="170">
        <v>1096.55</v>
      </c>
      <c r="G1049" s="172"/>
      <c r="H1049" s="194"/>
      <c r="I1049" s="195"/>
      <c r="J1049" s="172"/>
      <c r="K1049" s="264"/>
      <c r="N1049" s="203"/>
    </row>
    <row r="1050" spans="1:14" ht="38.25">
      <c r="A1050" s="257" t="s">
        <v>2007</v>
      </c>
      <c r="B1050" s="170" t="s">
        <v>91</v>
      </c>
      <c r="C1050" s="186" t="s">
        <v>43</v>
      </c>
      <c r="D1050" s="186" t="s">
        <v>92</v>
      </c>
      <c r="E1050" s="171" t="s">
        <v>80</v>
      </c>
      <c r="F1050" s="170">
        <v>1361.18</v>
      </c>
      <c r="G1050" s="172"/>
      <c r="H1050" s="194"/>
      <c r="I1050" s="195"/>
      <c r="J1050" s="172"/>
      <c r="K1050" s="264"/>
      <c r="N1050" s="203"/>
    </row>
    <row r="1051" spans="1:14" ht="38.25">
      <c r="A1051" s="257" t="s">
        <v>2008</v>
      </c>
      <c r="B1051" s="170" t="s">
        <v>94</v>
      </c>
      <c r="C1051" s="186" t="s">
        <v>43</v>
      </c>
      <c r="D1051" s="186" t="s">
        <v>95</v>
      </c>
      <c r="E1051" s="171" t="s">
        <v>80</v>
      </c>
      <c r="F1051" s="170">
        <v>583.17999999999995</v>
      </c>
      <c r="G1051" s="172"/>
      <c r="H1051" s="194"/>
      <c r="I1051" s="195"/>
      <c r="J1051" s="172"/>
      <c r="K1051" s="264"/>
      <c r="N1051" s="203"/>
    </row>
    <row r="1052" spans="1:14" ht="38.25">
      <c r="A1052" s="257" t="s">
        <v>2009</v>
      </c>
      <c r="B1052" s="170" t="s">
        <v>97</v>
      </c>
      <c r="C1052" s="186" t="s">
        <v>43</v>
      </c>
      <c r="D1052" s="186" t="s">
        <v>98</v>
      </c>
      <c r="E1052" s="171" t="s">
        <v>80</v>
      </c>
      <c r="F1052" s="170">
        <v>523.27</v>
      </c>
      <c r="G1052" s="172"/>
      <c r="H1052" s="194"/>
      <c r="I1052" s="195"/>
      <c r="J1052" s="172"/>
      <c r="K1052" s="264"/>
      <c r="N1052" s="203"/>
    </row>
    <row r="1053" spans="1:14" ht="25.5">
      <c r="A1053" s="257" t="s">
        <v>2010</v>
      </c>
      <c r="B1053" s="170" t="s">
        <v>2011</v>
      </c>
      <c r="C1053" s="186" t="s">
        <v>43</v>
      </c>
      <c r="D1053" s="186" t="s">
        <v>2012</v>
      </c>
      <c r="E1053" s="171" t="s">
        <v>80</v>
      </c>
      <c r="F1053" s="170">
        <v>936.55</v>
      </c>
      <c r="G1053" s="172"/>
      <c r="H1053" s="194"/>
      <c r="I1053" s="195"/>
      <c r="J1053" s="172"/>
      <c r="K1053" s="264"/>
      <c r="N1053" s="203"/>
    </row>
    <row r="1054" spans="1:14" ht="25.5">
      <c r="A1054" s="257" t="s">
        <v>2013</v>
      </c>
      <c r="B1054" s="170" t="s">
        <v>2014</v>
      </c>
      <c r="C1054" s="186" t="s">
        <v>43</v>
      </c>
      <c r="D1054" s="186" t="s">
        <v>2015</v>
      </c>
      <c r="E1054" s="171" t="s">
        <v>126</v>
      </c>
      <c r="F1054" s="170">
        <v>869.73</v>
      </c>
      <c r="G1054" s="172"/>
      <c r="H1054" s="194"/>
      <c r="I1054" s="195"/>
      <c r="J1054" s="172"/>
      <c r="K1054" s="264"/>
      <c r="N1054" s="203"/>
    </row>
    <row r="1055" spans="1:14" ht="25.5">
      <c r="A1055" s="257" t="s">
        <v>2016</v>
      </c>
      <c r="B1055" s="170" t="s">
        <v>2017</v>
      </c>
      <c r="C1055" s="186" t="s">
        <v>43</v>
      </c>
      <c r="D1055" s="186" t="s">
        <v>2018</v>
      </c>
      <c r="E1055" s="171" t="s">
        <v>126</v>
      </c>
      <c r="F1055" s="170">
        <v>89.99</v>
      </c>
      <c r="G1055" s="172"/>
      <c r="H1055" s="194"/>
      <c r="I1055" s="195"/>
      <c r="J1055" s="172"/>
      <c r="K1055" s="264"/>
      <c r="N1055" s="203"/>
    </row>
    <row r="1056" spans="1:14" ht="38.25">
      <c r="A1056" s="257" t="s">
        <v>2019</v>
      </c>
      <c r="B1056" s="170" t="s">
        <v>124</v>
      </c>
      <c r="C1056" s="186" t="s">
        <v>34</v>
      </c>
      <c r="D1056" s="186" t="s">
        <v>125</v>
      </c>
      <c r="E1056" s="171" t="s">
        <v>126</v>
      </c>
      <c r="F1056" s="170">
        <v>30.57</v>
      </c>
      <c r="G1056" s="172"/>
      <c r="H1056" s="194"/>
      <c r="I1056" s="195"/>
      <c r="J1056" s="172"/>
      <c r="K1056" s="264"/>
      <c r="N1056" s="202"/>
    </row>
    <row r="1057" spans="1:14" ht="38.25">
      <c r="A1057" s="257" t="s">
        <v>2020</v>
      </c>
      <c r="B1057" s="170" t="s">
        <v>1720</v>
      </c>
      <c r="C1057" s="186" t="s">
        <v>43</v>
      </c>
      <c r="D1057" s="186" t="s">
        <v>1721</v>
      </c>
      <c r="E1057" s="171" t="s">
        <v>126</v>
      </c>
      <c r="F1057" s="170">
        <v>93.95</v>
      </c>
      <c r="G1057" s="172"/>
      <c r="H1057" s="194"/>
      <c r="I1057" s="195"/>
      <c r="J1057" s="172"/>
      <c r="K1057" s="264"/>
      <c r="N1057" s="203"/>
    </row>
    <row r="1058" spans="1:14">
      <c r="A1058" s="259" t="s">
        <v>2021</v>
      </c>
      <c r="B1058" s="187"/>
      <c r="C1058" s="187"/>
      <c r="D1058" s="187" t="s">
        <v>2022</v>
      </c>
      <c r="E1058" s="187"/>
      <c r="F1058" s="169"/>
      <c r="G1058" s="187"/>
      <c r="H1058" s="193"/>
      <c r="I1058" s="187"/>
      <c r="J1058" s="192"/>
      <c r="K1058" s="263"/>
      <c r="N1058" s="203"/>
    </row>
    <row r="1059" spans="1:14" ht="25.5">
      <c r="A1059" s="257" t="s">
        <v>2023</v>
      </c>
      <c r="B1059" s="170" t="s">
        <v>2024</v>
      </c>
      <c r="C1059" s="186" t="s">
        <v>43</v>
      </c>
      <c r="D1059" s="186" t="s">
        <v>2025</v>
      </c>
      <c r="E1059" s="171" t="s">
        <v>36</v>
      </c>
      <c r="F1059" s="170">
        <v>2</v>
      </c>
      <c r="G1059" s="172"/>
      <c r="H1059" s="194"/>
      <c r="I1059" s="195"/>
      <c r="J1059" s="172"/>
      <c r="K1059" s="264"/>
      <c r="N1059" s="203"/>
    </row>
    <row r="1060" spans="1:14" ht="25.5">
      <c r="A1060" s="257" t="s">
        <v>2026</v>
      </c>
      <c r="B1060" s="170" t="s">
        <v>2027</v>
      </c>
      <c r="C1060" s="186" t="s">
        <v>43</v>
      </c>
      <c r="D1060" s="186" t="s">
        <v>2028</v>
      </c>
      <c r="E1060" s="171" t="s">
        <v>36</v>
      </c>
      <c r="F1060" s="170">
        <v>14</v>
      </c>
      <c r="G1060" s="172"/>
      <c r="H1060" s="194"/>
      <c r="I1060" s="195"/>
      <c r="J1060" s="172"/>
      <c r="K1060" s="264"/>
      <c r="N1060" s="203"/>
    </row>
    <row r="1061" spans="1:14" ht="25.5">
      <c r="A1061" s="257" t="s">
        <v>2029</v>
      </c>
      <c r="B1061" s="170" t="s">
        <v>2030</v>
      </c>
      <c r="C1061" s="186" t="s">
        <v>43</v>
      </c>
      <c r="D1061" s="186" t="s">
        <v>2031</v>
      </c>
      <c r="E1061" s="171" t="s">
        <v>36</v>
      </c>
      <c r="F1061" s="170">
        <v>112</v>
      </c>
      <c r="G1061" s="172"/>
      <c r="H1061" s="194"/>
      <c r="I1061" s="195"/>
      <c r="J1061" s="172"/>
      <c r="K1061" s="264"/>
      <c r="N1061" s="203"/>
    </row>
    <row r="1062" spans="1:14" ht="25.5">
      <c r="A1062" s="257" t="s">
        <v>2032</v>
      </c>
      <c r="B1062" s="170" t="s">
        <v>2033</v>
      </c>
      <c r="C1062" s="186" t="s">
        <v>34</v>
      </c>
      <c r="D1062" s="186" t="s">
        <v>2034</v>
      </c>
      <c r="E1062" s="171" t="s">
        <v>36</v>
      </c>
      <c r="F1062" s="170">
        <v>66</v>
      </c>
      <c r="G1062" s="172"/>
      <c r="H1062" s="194"/>
      <c r="I1062" s="195"/>
      <c r="J1062" s="172"/>
      <c r="K1062" s="264"/>
      <c r="N1062" s="203"/>
    </row>
    <row r="1063" spans="1:14" ht="51">
      <c r="A1063" s="257" t="s">
        <v>2035</v>
      </c>
      <c r="B1063" s="170" t="s">
        <v>2036</v>
      </c>
      <c r="C1063" s="186" t="s">
        <v>34</v>
      </c>
      <c r="D1063" s="186" t="s">
        <v>2037</v>
      </c>
      <c r="E1063" s="171" t="s">
        <v>36</v>
      </c>
      <c r="F1063" s="170">
        <v>11</v>
      </c>
      <c r="G1063" s="172"/>
      <c r="H1063" s="194"/>
      <c r="I1063" s="195"/>
      <c r="J1063" s="172"/>
      <c r="K1063" s="264"/>
      <c r="N1063" s="203"/>
    </row>
    <row r="1064" spans="1:14">
      <c r="A1064" s="257" t="s">
        <v>2038</v>
      </c>
      <c r="B1064" s="170" t="s">
        <v>2039</v>
      </c>
      <c r="C1064" s="186" t="s">
        <v>34</v>
      </c>
      <c r="D1064" s="186" t="s">
        <v>2040</v>
      </c>
      <c r="E1064" s="171" t="s">
        <v>144</v>
      </c>
      <c r="F1064" s="170">
        <v>350.24</v>
      </c>
      <c r="G1064" s="172"/>
      <c r="H1064" s="194"/>
      <c r="I1064" s="195"/>
      <c r="J1064" s="172"/>
      <c r="K1064" s="264"/>
      <c r="N1064" s="203"/>
    </row>
    <row r="1065" spans="1:14" ht="38.25">
      <c r="A1065" s="257" t="s">
        <v>2041</v>
      </c>
      <c r="B1065" s="170" t="s">
        <v>2042</v>
      </c>
      <c r="C1065" s="186" t="s">
        <v>43</v>
      </c>
      <c r="D1065" s="186" t="s">
        <v>2043</v>
      </c>
      <c r="E1065" s="171" t="s">
        <v>36</v>
      </c>
      <c r="F1065" s="170">
        <v>18</v>
      </c>
      <c r="G1065" s="172"/>
      <c r="H1065" s="194"/>
      <c r="I1065" s="195"/>
      <c r="J1065" s="172"/>
      <c r="K1065" s="264"/>
      <c r="N1065" s="203"/>
    </row>
    <row r="1066" spans="1:14" ht="38.25">
      <c r="A1066" s="257" t="s">
        <v>2044</v>
      </c>
      <c r="B1066" s="170" t="s">
        <v>2045</v>
      </c>
      <c r="C1066" s="186" t="s">
        <v>43</v>
      </c>
      <c r="D1066" s="186" t="s">
        <v>2046</v>
      </c>
      <c r="E1066" s="171" t="s">
        <v>144</v>
      </c>
      <c r="F1066" s="170">
        <v>350.24</v>
      </c>
      <c r="G1066" s="172"/>
      <c r="H1066" s="194"/>
      <c r="I1066" s="195"/>
      <c r="J1066" s="172"/>
      <c r="K1066" s="264"/>
      <c r="N1066" s="202"/>
    </row>
    <row r="1067" spans="1:14" ht="25.5">
      <c r="A1067" s="257" t="s">
        <v>2047</v>
      </c>
      <c r="B1067" s="170" t="s">
        <v>2048</v>
      </c>
      <c r="C1067" s="186" t="s">
        <v>43</v>
      </c>
      <c r="D1067" s="186" t="s">
        <v>2049</v>
      </c>
      <c r="E1067" s="171" t="s">
        <v>36</v>
      </c>
      <c r="F1067" s="170">
        <v>4</v>
      </c>
      <c r="G1067" s="172"/>
      <c r="H1067" s="194"/>
      <c r="I1067" s="195"/>
      <c r="J1067" s="172"/>
      <c r="K1067" s="264"/>
      <c r="N1067" s="202"/>
    </row>
    <row r="1068" spans="1:14">
      <c r="A1068" s="259" t="s">
        <v>949</v>
      </c>
      <c r="B1068" s="187"/>
      <c r="C1068" s="187"/>
      <c r="D1068" s="187" t="s">
        <v>16</v>
      </c>
      <c r="E1068" s="187"/>
      <c r="F1068" s="169"/>
      <c r="G1068" s="187"/>
      <c r="H1068" s="193"/>
      <c r="I1068" s="187"/>
      <c r="J1068" s="192"/>
      <c r="K1068" s="263"/>
      <c r="N1068" s="203"/>
    </row>
    <row r="1069" spans="1:14">
      <c r="A1069" s="259" t="s">
        <v>2050</v>
      </c>
      <c r="B1069" s="187"/>
      <c r="C1069" s="187"/>
      <c r="D1069" s="187" t="s">
        <v>1965</v>
      </c>
      <c r="E1069" s="187"/>
      <c r="F1069" s="169"/>
      <c r="G1069" s="187"/>
      <c r="H1069" s="193"/>
      <c r="I1069" s="187"/>
      <c r="J1069" s="192"/>
      <c r="K1069" s="263"/>
      <c r="N1069" s="203"/>
    </row>
    <row r="1070" spans="1:14" ht="38.25">
      <c r="A1070" s="257" t="s">
        <v>2051</v>
      </c>
      <c r="B1070" s="170" t="s">
        <v>1967</v>
      </c>
      <c r="C1070" s="186" t="s">
        <v>43</v>
      </c>
      <c r="D1070" s="186" t="s">
        <v>1968</v>
      </c>
      <c r="E1070" s="171" t="s">
        <v>144</v>
      </c>
      <c r="F1070" s="170">
        <v>108.3</v>
      </c>
      <c r="G1070" s="172"/>
      <c r="H1070" s="194"/>
      <c r="I1070" s="195"/>
      <c r="J1070" s="172"/>
      <c r="K1070" s="264"/>
      <c r="N1070" s="203"/>
    </row>
    <row r="1071" spans="1:14" ht="38.25">
      <c r="A1071" s="257" t="s">
        <v>2052</v>
      </c>
      <c r="B1071" s="170" t="s">
        <v>1970</v>
      </c>
      <c r="C1071" s="186" t="s">
        <v>43</v>
      </c>
      <c r="D1071" s="186" t="s">
        <v>1971</v>
      </c>
      <c r="E1071" s="171" t="s">
        <v>126</v>
      </c>
      <c r="F1071" s="170">
        <v>95.73</v>
      </c>
      <c r="G1071" s="172"/>
      <c r="H1071" s="194"/>
      <c r="I1071" s="195"/>
      <c r="J1071" s="172"/>
      <c r="K1071" s="264"/>
      <c r="N1071" s="203"/>
    </row>
    <row r="1072" spans="1:14" ht="38.25">
      <c r="A1072" s="257" t="s">
        <v>2053</v>
      </c>
      <c r="B1072" s="170" t="s">
        <v>1973</v>
      </c>
      <c r="C1072" s="186" t="s">
        <v>43</v>
      </c>
      <c r="D1072" s="186" t="s">
        <v>1974</v>
      </c>
      <c r="E1072" s="171" t="s">
        <v>126</v>
      </c>
      <c r="F1072" s="170">
        <v>42.37</v>
      </c>
      <c r="G1072" s="172"/>
      <c r="H1072" s="194"/>
      <c r="I1072" s="195"/>
      <c r="J1072" s="172"/>
      <c r="K1072" s="264"/>
      <c r="N1072" s="203"/>
    </row>
    <row r="1073" spans="1:14" ht="25.5">
      <c r="A1073" s="257" t="s">
        <v>2054</v>
      </c>
      <c r="B1073" s="170" t="s">
        <v>1976</v>
      </c>
      <c r="C1073" s="186" t="s">
        <v>43</v>
      </c>
      <c r="D1073" s="186" t="s">
        <v>1977</v>
      </c>
      <c r="E1073" s="171" t="s">
        <v>45</v>
      </c>
      <c r="F1073" s="170">
        <v>36.369999999999997</v>
      </c>
      <c r="G1073" s="172"/>
      <c r="H1073" s="194"/>
      <c r="I1073" s="195"/>
      <c r="J1073" s="172"/>
      <c r="K1073" s="264"/>
      <c r="N1073" s="203"/>
    </row>
    <row r="1074" spans="1:14" ht="38.25">
      <c r="A1074" s="257" t="s">
        <v>2055</v>
      </c>
      <c r="B1074" s="170" t="s">
        <v>1979</v>
      </c>
      <c r="C1074" s="186" t="s">
        <v>43</v>
      </c>
      <c r="D1074" s="186" t="s">
        <v>1980</v>
      </c>
      <c r="E1074" s="171" t="s">
        <v>126</v>
      </c>
      <c r="F1074" s="170">
        <v>14.53</v>
      </c>
      <c r="G1074" s="172"/>
      <c r="H1074" s="194"/>
      <c r="I1074" s="195"/>
      <c r="J1074" s="172"/>
      <c r="K1074" s="264"/>
      <c r="N1074" s="203"/>
    </row>
    <row r="1075" spans="1:14" ht="25.5">
      <c r="A1075" s="257" t="s">
        <v>2056</v>
      </c>
      <c r="B1075" s="170" t="s">
        <v>1982</v>
      </c>
      <c r="C1075" s="186" t="s">
        <v>43</v>
      </c>
      <c r="D1075" s="186" t="s">
        <v>1983</v>
      </c>
      <c r="E1075" s="171" t="s">
        <v>45</v>
      </c>
      <c r="F1075" s="170">
        <v>50</v>
      </c>
      <c r="G1075" s="172"/>
      <c r="H1075" s="194"/>
      <c r="I1075" s="195"/>
      <c r="J1075" s="172"/>
      <c r="K1075" s="264"/>
      <c r="N1075" s="203"/>
    </row>
    <row r="1076" spans="1:14" ht="38.25">
      <c r="A1076" s="257" t="s">
        <v>2057</v>
      </c>
      <c r="B1076" s="170" t="s">
        <v>1985</v>
      </c>
      <c r="C1076" s="186" t="s">
        <v>43</v>
      </c>
      <c r="D1076" s="186" t="s">
        <v>1986</v>
      </c>
      <c r="E1076" s="171" t="s">
        <v>45</v>
      </c>
      <c r="F1076" s="170">
        <v>226.94</v>
      </c>
      <c r="G1076" s="172"/>
      <c r="H1076" s="194"/>
      <c r="I1076" s="195"/>
      <c r="J1076" s="172"/>
      <c r="K1076" s="264"/>
      <c r="N1076" s="203"/>
    </row>
    <row r="1077" spans="1:14" ht="26.45" customHeight="1">
      <c r="A1077" s="257" t="s">
        <v>2058</v>
      </c>
      <c r="B1077" s="170" t="s">
        <v>1988</v>
      </c>
      <c r="C1077" s="186" t="s">
        <v>43</v>
      </c>
      <c r="D1077" s="186" t="s">
        <v>1989</v>
      </c>
      <c r="E1077" s="171" t="s">
        <v>45</v>
      </c>
      <c r="F1077" s="170">
        <v>45.18</v>
      </c>
      <c r="G1077" s="172"/>
      <c r="H1077" s="194"/>
      <c r="I1077" s="195"/>
      <c r="J1077" s="172"/>
      <c r="K1077" s="264"/>
      <c r="N1077" s="203"/>
    </row>
    <row r="1078" spans="1:14" ht="25.5">
      <c r="A1078" s="257" t="s">
        <v>2059</v>
      </c>
      <c r="B1078" s="170" t="s">
        <v>1991</v>
      </c>
      <c r="C1078" s="186" t="s">
        <v>43</v>
      </c>
      <c r="D1078" s="186" t="s">
        <v>1992</v>
      </c>
      <c r="E1078" s="171" t="s">
        <v>80</v>
      </c>
      <c r="F1078" s="170">
        <v>192.45</v>
      </c>
      <c r="G1078" s="172"/>
      <c r="H1078" s="194"/>
      <c r="I1078" s="195"/>
      <c r="J1078" s="172"/>
      <c r="K1078" s="264"/>
      <c r="N1078" s="203"/>
    </row>
    <row r="1079" spans="1:14" ht="25.5">
      <c r="A1079" s="257" t="s">
        <v>2060</v>
      </c>
      <c r="B1079" s="170" t="s">
        <v>1994</v>
      </c>
      <c r="C1079" s="186" t="s">
        <v>43</v>
      </c>
      <c r="D1079" s="186" t="s">
        <v>1995</v>
      </c>
      <c r="E1079" s="171" t="s">
        <v>80</v>
      </c>
      <c r="F1079" s="170">
        <v>23.91</v>
      </c>
      <c r="G1079" s="172"/>
      <c r="H1079" s="194"/>
      <c r="I1079" s="195"/>
      <c r="J1079" s="172"/>
      <c r="K1079" s="264"/>
      <c r="N1079" s="203"/>
    </row>
    <row r="1080" spans="1:14" ht="25.5">
      <c r="A1080" s="257" t="s">
        <v>2061</v>
      </c>
      <c r="B1080" s="170" t="s">
        <v>1997</v>
      </c>
      <c r="C1080" s="186" t="s">
        <v>43</v>
      </c>
      <c r="D1080" s="186" t="s">
        <v>1998</v>
      </c>
      <c r="E1080" s="171" t="s">
        <v>80</v>
      </c>
      <c r="F1080" s="170">
        <v>27.55</v>
      </c>
      <c r="G1080" s="172"/>
      <c r="H1080" s="194"/>
      <c r="I1080" s="195"/>
      <c r="J1080" s="172"/>
      <c r="K1080" s="264"/>
      <c r="N1080" s="203"/>
    </row>
    <row r="1081" spans="1:14" ht="25.5">
      <c r="A1081" s="257" t="s">
        <v>2062</v>
      </c>
      <c r="B1081" s="170" t="s">
        <v>2000</v>
      </c>
      <c r="C1081" s="186" t="s">
        <v>43</v>
      </c>
      <c r="D1081" s="186" t="s">
        <v>2001</v>
      </c>
      <c r="E1081" s="171" t="s">
        <v>80</v>
      </c>
      <c r="F1081" s="170">
        <v>666</v>
      </c>
      <c r="G1081" s="172"/>
      <c r="H1081" s="194"/>
      <c r="I1081" s="195"/>
      <c r="J1081" s="172"/>
      <c r="K1081" s="264"/>
      <c r="N1081" s="203"/>
    </row>
    <row r="1082" spans="1:14" ht="25.5">
      <c r="A1082" s="257" t="s">
        <v>2063</v>
      </c>
      <c r="B1082" s="170" t="s">
        <v>2003</v>
      </c>
      <c r="C1082" s="186" t="s">
        <v>43</v>
      </c>
      <c r="D1082" s="186" t="s">
        <v>2004</v>
      </c>
      <c r="E1082" s="171" t="s">
        <v>80</v>
      </c>
      <c r="F1082" s="170">
        <v>140.63999999999999</v>
      </c>
      <c r="G1082" s="172"/>
      <c r="H1082" s="194"/>
      <c r="I1082" s="195"/>
      <c r="J1082" s="172"/>
      <c r="K1082" s="264"/>
      <c r="N1082" s="203"/>
    </row>
    <row r="1083" spans="1:14" ht="38.25">
      <c r="A1083" s="257" t="s">
        <v>2064</v>
      </c>
      <c r="B1083" s="170" t="s">
        <v>78</v>
      </c>
      <c r="C1083" s="186" t="s">
        <v>43</v>
      </c>
      <c r="D1083" s="186" t="s">
        <v>79</v>
      </c>
      <c r="E1083" s="171" t="s">
        <v>80</v>
      </c>
      <c r="F1083" s="170">
        <v>76.55</v>
      </c>
      <c r="G1083" s="172"/>
      <c r="H1083" s="194"/>
      <c r="I1083" s="195"/>
      <c r="J1083" s="172"/>
      <c r="K1083" s="264"/>
      <c r="N1083" s="203"/>
    </row>
    <row r="1084" spans="1:14" ht="38.25">
      <c r="A1084" s="257" t="s">
        <v>2065</v>
      </c>
      <c r="B1084" s="170" t="s">
        <v>88</v>
      </c>
      <c r="C1084" s="186" t="s">
        <v>43</v>
      </c>
      <c r="D1084" s="186" t="s">
        <v>89</v>
      </c>
      <c r="E1084" s="171" t="s">
        <v>80</v>
      </c>
      <c r="F1084" s="170">
        <v>140.82</v>
      </c>
      <c r="G1084" s="172"/>
      <c r="H1084" s="194"/>
      <c r="I1084" s="195"/>
      <c r="J1084" s="172"/>
      <c r="K1084" s="264"/>
      <c r="N1084" s="203"/>
    </row>
    <row r="1085" spans="1:14" ht="38.25">
      <c r="A1085" s="257" t="s">
        <v>2066</v>
      </c>
      <c r="B1085" s="170" t="s">
        <v>91</v>
      </c>
      <c r="C1085" s="186" t="s">
        <v>43</v>
      </c>
      <c r="D1085" s="186" t="s">
        <v>92</v>
      </c>
      <c r="E1085" s="171" t="s">
        <v>80</v>
      </c>
      <c r="F1085" s="170">
        <v>305.08999999999997</v>
      </c>
      <c r="G1085" s="172"/>
      <c r="H1085" s="194"/>
      <c r="I1085" s="195"/>
      <c r="J1085" s="172"/>
      <c r="K1085" s="264"/>
      <c r="N1085" s="203"/>
    </row>
    <row r="1086" spans="1:14" ht="38.25">
      <c r="A1086" s="257" t="s">
        <v>2067</v>
      </c>
      <c r="B1086" s="170" t="s">
        <v>94</v>
      </c>
      <c r="C1086" s="186" t="s">
        <v>43</v>
      </c>
      <c r="D1086" s="186" t="s">
        <v>95</v>
      </c>
      <c r="E1086" s="171" t="s">
        <v>80</v>
      </c>
      <c r="F1086" s="170">
        <v>49.45</v>
      </c>
      <c r="G1086" s="172"/>
      <c r="H1086" s="194"/>
      <c r="I1086" s="195"/>
      <c r="J1086" s="172"/>
      <c r="K1086" s="264"/>
      <c r="N1086" s="203"/>
    </row>
    <row r="1087" spans="1:14" ht="25.5">
      <c r="A1087" s="257" t="s">
        <v>2068</v>
      </c>
      <c r="B1087" s="170" t="s">
        <v>2011</v>
      </c>
      <c r="C1087" s="186" t="s">
        <v>43</v>
      </c>
      <c r="D1087" s="186" t="s">
        <v>2012</v>
      </c>
      <c r="E1087" s="171" t="s">
        <v>80</v>
      </c>
      <c r="F1087" s="170">
        <v>247.36</v>
      </c>
      <c r="G1087" s="172"/>
      <c r="H1087" s="194"/>
      <c r="I1087" s="195"/>
      <c r="J1087" s="172"/>
      <c r="K1087" s="264"/>
      <c r="N1087" s="203"/>
    </row>
    <row r="1088" spans="1:14" ht="25.5">
      <c r="A1088" s="257" t="s">
        <v>2069</v>
      </c>
      <c r="B1088" s="170" t="s">
        <v>2014</v>
      </c>
      <c r="C1088" s="186" t="s">
        <v>43</v>
      </c>
      <c r="D1088" s="186" t="s">
        <v>2015</v>
      </c>
      <c r="E1088" s="171" t="s">
        <v>126</v>
      </c>
      <c r="F1088" s="170">
        <v>105.32</v>
      </c>
      <c r="G1088" s="172"/>
      <c r="H1088" s="194"/>
      <c r="I1088" s="195"/>
      <c r="J1088" s="172"/>
      <c r="K1088" s="264"/>
      <c r="N1088" s="203"/>
    </row>
    <row r="1089" spans="1:14" ht="25.5">
      <c r="A1089" s="257" t="s">
        <v>2070</v>
      </c>
      <c r="B1089" s="170" t="s">
        <v>2017</v>
      </c>
      <c r="C1089" s="186" t="s">
        <v>43</v>
      </c>
      <c r="D1089" s="186" t="s">
        <v>2018</v>
      </c>
      <c r="E1089" s="171" t="s">
        <v>126</v>
      </c>
      <c r="F1089" s="170">
        <v>13.67</v>
      </c>
      <c r="G1089" s="172"/>
      <c r="H1089" s="194"/>
      <c r="I1089" s="195"/>
      <c r="J1089" s="172"/>
      <c r="K1089" s="264"/>
      <c r="N1089" s="203"/>
    </row>
    <row r="1090" spans="1:14" ht="38.25">
      <c r="A1090" s="257" t="s">
        <v>2071</v>
      </c>
      <c r="B1090" s="170" t="s">
        <v>124</v>
      </c>
      <c r="C1090" s="186" t="s">
        <v>34</v>
      </c>
      <c r="D1090" s="186" t="s">
        <v>125</v>
      </c>
      <c r="E1090" s="171" t="s">
        <v>126</v>
      </c>
      <c r="F1090" s="170">
        <v>2.5499999999999998</v>
      </c>
      <c r="G1090" s="172"/>
      <c r="H1090" s="194"/>
      <c r="I1090" s="195"/>
      <c r="J1090" s="172"/>
      <c r="K1090" s="264"/>
      <c r="N1090" s="202"/>
    </row>
    <row r="1091" spans="1:14" ht="38.25">
      <c r="A1091" s="257" t="s">
        <v>2072</v>
      </c>
      <c r="B1091" s="170" t="s">
        <v>1720</v>
      </c>
      <c r="C1091" s="186" t="s">
        <v>43</v>
      </c>
      <c r="D1091" s="186" t="s">
        <v>1721</v>
      </c>
      <c r="E1091" s="171" t="s">
        <v>126</v>
      </c>
      <c r="F1091" s="170">
        <v>19.690000000000001</v>
      </c>
      <c r="G1091" s="172"/>
      <c r="H1091" s="194"/>
      <c r="I1091" s="195"/>
      <c r="J1091" s="172"/>
      <c r="K1091" s="264"/>
      <c r="N1091" s="203"/>
    </row>
    <row r="1092" spans="1:14">
      <c r="A1092" s="259" t="s">
        <v>2073</v>
      </c>
      <c r="B1092" s="187"/>
      <c r="C1092" s="187"/>
      <c r="D1092" s="187" t="s">
        <v>2022</v>
      </c>
      <c r="E1092" s="187"/>
      <c r="F1092" s="169"/>
      <c r="G1092" s="187"/>
      <c r="H1092" s="193"/>
      <c r="I1092" s="187"/>
      <c r="J1092" s="192"/>
      <c r="K1092" s="263"/>
      <c r="N1092" s="203"/>
    </row>
    <row r="1093" spans="1:14" ht="25.5">
      <c r="A1093" s="257" t="s">
        <v>2074</v>
      </c>
      <c r="B1093" s="170" t="s">
        <v>5706</v>
      </c>
      <c r="C1093" s="186" t="s">
        <v>34</v>
      </c>
      <c r="D1093" s="186" t="s">
        <v>2075</v>
      </c>
      <c r="E1093" s="171" t="s">
        <v>36</v>
      </c>
      <c r="F1093" s="170">
        <v>1</v>
      </c>
      <c r="G1093" s="172"/>
      <c r="H1093" s="194"/>
      <c r="I1093" s="195"/>
      <c r="J1093" s="172"/>
      <c r="K1093" s="264"/>
      <c r="N1093" s="203"/>
    </row>
    <row r="1094" spans="1:14" ht="25.5">
      <c r="A1094" s="257" t="s">
        <v>2076</v>
      </c>
      <c r="B1094" s="170" t="s">
        <v>2027</v>
      </c>
      <c r="C1094" s="186" t="s">
        <v>43</v>
      </c>
      <c r="D1094" s="186" t="s">
        <v>2028</v>
      </c>
      <c r="E1094" s="171" t="s">
        <v>36</v>
      </c>
      <c r="F1094" s="170">
        <v>3</v>
      </c>
      <c r="G1094" s="172"/>
      <c r="H1094" s="194"/>
      <c r="I1094" s="195"/>
      <c r="J1094" s="172"/>
      <c r="K1094" s="264"/>
      <c r="N1094" s="203"/>
    </row>
    <row r="1095" spans="1:14" ht="25.5">
      <c r="A1095" s="257" t="s">
        <v>2077</v>
      </c>
      <c r="B1095" s="170" t="s">
        <v>2030</v>
      </c>
      <c r="C1095" s="186" t="s">
        <v>43</v>
      </c>
      <c r="D1095" s="186" t="s">
        <v>2031</v>
      </c>
      <c r="E1095" s="171" t="s">
        <v>36</v>
      </c>
      <c r="F1095" s="170">
        <v>12</v>
      </c>
      <c r="G1095" s="172"/>
      <c r="H1095" s="194"/>
      <c r="I1095" s="195"/>
      <c r="J1095" s="172"/>
      <c r="K1095" s="264"/>
      <c r="N1095" s="203"/>
    </row>
    <row r="1096" spans="1:14" ht="25.5">
      <c r="A1096" s="257" t="s">
        <v>2078</v>
      </c>
      <c r="B1096" s="170" t="s">
        <v>2033</v>
      </c>
      <c r="C1096" s="186" t="s">
        <v>34</v>
      </c>
      <c r="D1096" s="186" t="s">
        <v>2034</v>
      </c>
      <c r="E1096" s="171" t="s">
        <v>36</v>
      </c>
      <c r="F1096" s="170">
        <v>5</v>
      </c>
      <c r="G1096" s="172"/>
      <c r="H1096" s="194"/>
      <c r="I1096" s="195"/>
      <c r="J1096" s="172"/>
      <c r="K1096" s="264"/>
      <c r="N1096" s="203"/>
    </row>
    <row r="1097" spans="1:14" ht="51">
      <c r="A1097" s="257" t="s">
        <v>2079</v>
      </c>
      <c r="B1097" s="170" t="s">
        <v>2036</v>
      </c>
      <c r="C1097" s="186" t="s">
        <v>34</v>
      </c>
      <c r="D1097" s="186" t="s">
        <v>2037</v>
      </c>
      <c r="E1097" s="171" t="s">
        <v>36</v>
      </c>
      <c r="F1097" s="170">
        <v>2</v>
      </c>
      <c r="G1097" s="172"/>
      <c r="H1097" s="194"/>
      <c r="I1097" s="195"/>
      <c r="J1097" s="172"/>
      <c r="K1097" s="264"/>
      <c r="N1097" s="203"/>
    </row>
    <row r="1098" spans="1:14">
      <c r="A1098" s="257" t="s">
        <v>2080</v>
      </c>
      <c r="B1098" s="170" t="s">
        <v>2039</v>
      </c>
      <c r="C1098" s="186" t="s">
        <v>34</v>
      </c>
      <c r="D1098" s="186" t="s">
        <v>2040</v>
      </c>
      <c r="E1098" s="171" t="s">
        <v>144</v>
      </c>
      <c r="F1098" s="170">
        <v>51.11</v>
      </c>
      <c r="G1098" s="172"/>
      <c r="H1098" s="194"/>
      <c r="I1098" s="195"/>
      <c r="J1098" s="172"/>
      <c r="K1098" s="264"/>
      <c r="N1098" s="203"/>
    </row>
    <row r="1099" spans="1:14" ht="38.25">
      <c r="A1099" s="257" t="s">
        <v>2081</v>
      </c>
      <c r="B1099" s="170" t="s">
        <v>2042</v>
      </c>
      <c r="C1099" s="186" t="s">
        <v>43</v>
      </c>
      <c r="D1099" s="186" t="s">
        <v>2043</v>
      </c>
      <c r="E1099" s="171" t="s">
        <v>36</v>
      </c>
      <c r="F1099" s="170">
        <v>3</v>
      </c>
      <c r="G1099" s="172"/>
      <c r="H1099" s="194"/>
      <c r="I1099" s="195"/>
      <c r="J1099" s="172"/>
      <c r="K1099" s="264"/>
      <c r="N1099" s="203"/>
    </row>
    <row r="1100" spans="1:14" ht="38.25">
      <c r="A1100" s="257" t="s">
        <v>2082</v>
      </c>
      <c r="B1100" s="170" t="s">
        <v>2045</v>
      </c>
      <c r="C1100" s="186" t="s">
        <v>43</v>
      </c>
      <c r="D1100" s="186" t="s">
        <v>2046</v>
      </c>
      <c r="E1100" s="171" t="s">
        <v>144</v>
      </c>
      <c r="F1100" s="170">
        <v>51.11</v>
      </c>
      <c r="G1100" s="172"/>
      <c r="H1100" s="194"/>
      <c r="I1100" s="195"/>
      <c r="J1100" s="172"/>
      <c r="K1100" s="264"/>
      <c r="N1100" s="202"/>
    </row>
    <row r="1101" spans="1:14" ht="25.5">
      <c r="A1101" s="257" t="s">
        <v>2083</v>
      </c>
      <c r="B1101" s="170" t="s">
        <v>2048</v>
      </c>
      <c r="C1101" s="186" t="s">
        <v>43</v>
      </c>
      <c r="D1101" s="186" t="s">
        <v>2049</v>
      </c>
      <c r="E1101" s="171" t="s">
        <v>36</v>
      </c>
      <c r="F1101" s="170">
        <v>2</v>
      </c>
      <c r="G1101" s="172"/>
      <c r="H1101" s="194"/>
      <c r="I1101" s="195"/>
      <c r="J1101" s="172"/>
      <c r="K1101" s="264"/>
      <c r="N1101" s="202"/>
    </row>
    <row r="1102" spans="1:14">
      <c r="A1102" s="259" t="s">
        <v>1258</v>
      </c>
      <c r="B1102" s="187"/>
      <c r="C1102" s="187"/>
      <c r="D1102" s="187" t="s">
        <v>17</v>
      </c>
      <c r="E1102" s="187"/>
      <c r="F1102" s="169"/>
      <c r="G1102" s="187"/>
      <c r="H1102" s="193"/>
      <c r="I1102" s="187"/>
      <c r="J1102" s="192"/>
      <c r="K1102" s="263"/>
      <c r="N1102" s="203"/>
    </row>
    <row r="1103" spans="1:14">
      <c r="A1103" s="259" t="s">
        <v>2084</v>
      </c>
      <c r="B1103" s="187"/>
      <c r="C1103" s="187"/>
      <c r="D1103" s="187" t="s">
        <v>1965</v>
      </c>
      <c r="E1103" s="187"/>
      <c r="F1103" s="169"/>
      <c r="G1103" s="187"/>
      <c r="H1103" s="193"/>
      <c r="I1103" s="187"/>
      <c r="J1103" s="192"/>
      <c r="K1103" s="263"/>
      <c r="N1103" s="203"/>
    </row>
    <row r="1104" spans="1:14" ht="38.25">
      <c r="A1104" s="257" t="s">
        <v>2085</v>
      </c>
      <c r="B1104" s="170" t="s">
        <v>1967</v>
      </c>
      <c r="C1104" s="186" t="s">
        <v>43</v>
      </c>
      <c r="D1104" s="186" t="s">
        <v>1968</v>
      </c>
      <c r="E1104" s="171" t="s">
        <v>144</v>
      </c>
      <c r="F1104" s="170">
        <v>104.52</v>
      </c>
      <c r="G1104" s="172"/>
      <c r="H1104" s="194"/>
      <c r="I1104" s="195"/>
      <c r="J1104" s="172"/>
      <c r="K1104" s="264"/>
      <c r="N1104" s="203"/>
    </row>
    <row r="1105" spans="1:14" ht="38.25">
      <c r="A1105" s="257" t="s">
        <v>2086</v>
      </c>
      <c r="B1105" s="170" t="s">
        <v>1970</v>
      </c>
      <c r="C1105" s="186" t="s">
        <v>43</v>
      </c>
      <c r="D1105" s="186" t="s">
        <v>1971</v>
      </c>
      <c r="E1105" s="171" t="s">
        <v>126</v>
      </c>
      <c r="F1105" s="170">
        <v>104.04</v>
      </c>
      <c r="G1105" s="172"/>
      <c r="H1105" s="194"/>
      <c r="I1105" s="195"/>
      <c r="J1105" s="172"/>
      <c r="K1105" s="264"/>
      <c r="N1105" s="203"/>
    </row>
    <row r="1106" spans="1:14" ht="38.25">
      <c r="A1106" s="257" t="s">
        <v>2087</v>
      </c>
      <c r="B1106" s="170" t="s">
        <v>1973</v>
      </c>
      <c r="C1106" s="186" t="s">
        <v>43</v>
      </c>
      <c r="D1106" s="186" t="s">
        <v>1974</v>
      </c>
      <c r="E1106" s="171" t="s">
        <v>126</v>
      </c>
      <c r="F1106" s="170">
        <v>57.73</v>
      </c>
      <c r="G1106" s="172"/>
      <c r="H1106" s="194"/>
      <c r="I1106" s="195"/>
      <c r="J1106" s="172"/>
      <c r="K1106" s="264"/>
      <c r="N1106" s="203"/>
    </row>
    <row r="1107" spans="1:14" ht="25.5">
      <c r="A1107" s="257" t="s">
        <v>2088</v>
      </c>
      <c r="B1107" s="170" t="s">
        <v>1976</v>
      </c>
      <c r="C1107" s="186" t="s">
        <v>43</v>
      </c>
      <c r="D1107" s="186" t="s">
        <v>1977</v>
      </c>
      <c r="E1107" s="171" t="s">
        <v>45</v>
      </c>
      <c r="F1107" s="170">
        <v>232.06</v>
      </c>
      <c r="G1107" s="172"/>
      <c r="H1107" s="194"/>
      <c r="I1107" s="195"/>
      <c r="J1107" s="172"/>
      <c r="K1107" s="264"/>
      <c r="N1107" s="203"/>
    </row>
    <row r="1108" spans="1:14" ht="38.25">
      <c r="A1108" s="257" t="s">
        <v>2089</v>
      </c>
      <c r="B1108" s="170" t="s">
        <v>1979</v>
      </c>
      <c r="C1108" s="186" t="s">
        <v>43</v>
      </c>
      <c r="D1108" s="186" t="s">
        <v>1980</v>
      </c>
      <c r="E1108" s="171" t="s">
        <v>126</v>
      </c>
      <c r="F1108" s="170">
        <v>19.2</v>
      </c>
      <c r="G1108" s="172"/>
      <c r="H1108" s="194"/>
      <c r="I1108" s="195"/>
      <c r="J1108" s="172"/>
      <c r="K1108" s="264"/>
      <c r="N1108" s="203"/>
    </row>
    <row r="1109" spans="1:14" ht="25.5">
      <c r="A1109" s="257" t="s">
        <v>2090</v>
      </c>
      <c r="B1109" s="170" t="s">
        <v>1982</v>
      </c>
      <c r="C1109" s="186" t="s">
        <v>43</v>
      </c>
      <c r="D1109" s="186" t="s">
        <v>1983</v>
      </c>
      <c r="E1109" s="171" t="s">
        <v>45</v>
      </c>
      <c r="F1109" s="170">
        <v>26.3</v>
      </c>
      <c r="G1109" s="172"/>
      <c r="H1109" s="194"/>
      <c r="I1109" s="195"/>
      <c r="J1109" s="172"/>
      <c r="K1109" s="264"/>
      <c r="N1109" s="203"/>
    </row>
    <row r="1110" spans="1:14" ht="38.25">
      <c r="A1110" s="257" t="s">
        <v>2091</v>
      </c>
      <c r="B1110" s="170" t="s">
        <v>1985</v>
      </c>
      <c r="C1110" s="186" t="s">
        <v>43</v>
      </c>
      <c r="D1110" s="186" t="s">
        <v>1986</v>
      </c>
      <c r="E1110" s="171" t="s">
        <v>45</v>
      </c>
      <c r="F1110" s="170">
        <v>252</v>
      </c>
      <c r="G1110" s="172"/>
      <c r="H1110" s="194"/>
      <c r="I1110" s="195"/>
      <c r="J1110" s="172"/>
      <c r="K1110" s="264"/>
      <c r="N1110" s="203"/>
    </row>
    <row r="1111" spans="1:14" ht="51">
      <c r="A1111" s="257" t="s">
        <v>2092</v>
      </c>
      <c r="B1111" s="170" t="s">
        <v>1988</v>
      </c>
      <c r="C1111" s="186" t="s">
        <v>43</v>
      </c>
      <c r="D1111" s="186" t="s">
        <v>1989</v>
      </c>
      <c r="E1111" s="171" t="s">
        <v>45</v>
      </c>
      <c r="F1111" s="170">
        <v>47.6</v>
      </c>
      <c r="G1111" s="172"/>
      <c r="H1111" s="194"/>
      <c r="I1111" s="195"/>
      <c r="J1111" s="172"/>
      <c r="K1111" s="264"/>
      <c r="N1111" s="203"/>
    </row>
    <row r="1112" spans="1:14" ht="25.5">
      <c r="A1112" s="257" t="s">
        <v>2093</v>
      </c>
      <c r="B1112" s="170" t="s">
        <v>1991</v>
      </c>
      <c r="C1112" s="186" t="s">
        <v>43</v>
      </c>
      <c r="D1112" s="186" t="s">
        <v>1992</v>
      </c>
      <c r="E1112" s="171" t="s">
        <v>80</v>
      </c>
      <c r="F1112" s="170">
        <v>240</v>
      </c>
      <c r="G1112" s="172"/>
      <c r="H1112" s="194"/>
      <c r="I1112" s="195"/>
      <c r="J1112" s="172"/>
      <c r="K1112" s="264"/>
      <c r="N1112" s="203"/>
    </row>
    <row r="1113" spans="1:14" ht="25.5">
      <c r="A1113" s="257" t="s">
        <v>2094</v>
      </c>
      <c r="B1113" s="170" t="s">
        <v>2000</v>
      </c>
      <c r="C1113" s="186" t="s">
        <v>43</v>
      </c>
      <c r="D1113" s="186" t="s">
        <v>2001</v>
      </c>
      <c r="E1113" s="171" t="s">
        <v>80</v>
      </c>
      <c r="F1113" s="170">
        <v>237.38</v>
      </c>
      <c r="G1113" s="172"/>
      <c r="H1113" s="194"/>
      <c r="I1113" s="195"/>
      <c r="J1113" s="172"/>
      <c r="K1113" s="264"/>
      <c r="N1113" s="203"/>
    </row>
    <row r="1114" spans="1:14" ht="25.5">
      <c r="A1114" s="257" t="s">
        <v>2095</v>
      </c>
      <c r="B1114" s="170" t="s">
        <v>2003</v>
      </c>
      <c r="C1114" s="186" t="s">
        <v>43</v>
      </c>
      <c r="D1114" s="186" t="s">
        <v>2004</v>
      </c>
      <c r="E1114" s="171" t="s">
        <v>80</v>
      </c>
      <c r="F1114" s="170">
        <v>329.55</v>
      </c>
      <c r="G1114" s="172"/>
      <c r="H1114" s="194"/>
      <c r="I1114" s="195"/>
      <c r="J1114" s="172"/>
      <c r="K1114" s="264"/>
      <c r="N1114" s="203"/>
    </row>
    <row r="1115" spans="1:14" ht="38.25">
      <c r="A1115" s="257" t="s">
        <v>2096</v>
      </c>
      <c r="B1115" s="170" t="s">
        <v>78</v>
      </c>
      <c r="C1115" s="186" t="s">
        <v>43</v>
      </c>
      <c r="D1115" s="186" t="s">
        <v>79</v>
      </c>
      <c r="E1115" s="171" t="s">
        <v>80</v>
      </c>
      <c r="F1115" s="170">
        <v>77.55</v>
      </c>
      <c r="G1115" s="172"/>
      <c r="H1115" s="194"/>
      <c r="I1115" s="195"/>
      <c r="J1115" s="172"/>
      <c r="K1115" s="264"/>
      <c r="N1115" s="203"/>
    </row>
    <row r="1116" spans="1:14" ht="38.25">
      <c r="A1116" s="257" t="s">
        <v>2097</v>
      </c>
      <c r="B1116" s="170" t="s">
        <v>88</v>
      </c>
      <c r="C1116" s="186" t="s">
        <v>43</v>
      </c>
      <c r="D1116" s="186" t="s">
        <v>89</v>
      </c>
      <c r="E1116" s="171" t="s">
        <v>80</v>
      </c>
      <c r="F1116" s="170">
        <v>100.82</v>
      </c>
      <c r="G1116" s="172"/>
      <c r="H1116" s="194"/>
      <c r="I1116" s="195"/>
      <c r="J1116" s="172"/>
      <c r="K1116" s="264"/>
      <c r="N1116" s="203"/>
    </row>
    <row r="1117" spans="1:14" ht="38.25">
      <c r="A1117" s="257" t="s">
        <v>2098</v>
      </c>
      <c r="B1117" s="170" t="s">
        <v>91</v>
      </c>
      <c r="C1117" s="186" t="s">
        <v>43</v>
      </c>
      <c r="D1117" s="186" t="s">
        <v>92</v>
      </c>
      <c r="E1117" s="171" t="s">
        <v>80</v>
      </c>
      <c r="F1117" s="170">
        <v>67.19</v>
      </c>
      <c r="G1117" s="172"/>
      <c r="H1117" s="194"/>
      <c r="I1117" s="195"/>
      <c r="J1117" s="172"/>
      <c r="K1117" s="264"/>
      <c r="N1117" s="203"/>
    </row>
    <row r="1118" spans="1:14" ht="38.25">
      <c r="A1118" s="257" t="s">
        <v>2099</v>
      </c>
      <c r="B1118" s="170" t="s">
        <v>94</v>
      </c>
      <c r="C1118" s="186" t="s">
        <v>43</v>
      </c>
      <c r="D1118" s="186" t="s">
        <v>95</v>
      </c>
      <c r="E1118" s="171" t="s">
        <v>80</v>
      </c>
      <c r="F1118" s="170">
        <v>40.729999999999997</v>
      </c>
      <c r="G1118" s="172"/>
      <c r="H1118" s="194"/>
      <c r="I1118" s="195"/>
      <c r="J1118" s="172"/>
      <c r="K1118" s="264"/>
      <c r="N1118" s="203"/>
    </row>
    <row r="1119" spans="1:14" ht="38.25">
      <c r="A1119" s="257" t="s">
        <v>2100</v>
      </c>
      <c r="B1119" s="170" t="s">
        <v>97</v>
      </c>
      <c r="C1119" s="186" t="s">
        <v>43</v>
      </c>
      <c r="D1119" s="186" t="s">
        <v>98</v>
      </c>
      <c r="E1119" s="171" t="s">
        <v>80</v>
      </c>
      <c r="F1119" s="170">
        <v>358.27</v>
      </c>
      <c r="G1119" s="172"/>
      <c r="H1119" s="194"/>
      <c r="I1119" s="195"/>
      <c r="J1119" s="172"/>
      <c r="K1119" s="264"/>
      <c r="N1119" s="203"/>
    </row>
    <row r="1120" spans="1:14" ht="25.5">
      <c r="A1120" s="257" t="s">
        <v>2101</v>
      </c>
      <c r="B1120" s="170" t="s">
        <v>2011</v>
      </c>
      <c r="C1120" s="186" t="s">
        <v>43</v>
      </c>
      <c r="D1120" s="186" t="s">
        <v>2012</v>
      </c>
      <c r="E1120" s="171" t="s">
        <v>80</v>
      </c>
      <c r="F1120" s="170">
        <v>554.17999999999995</v>
      </c>
      <c r="G1120" s="172"/>
      <c r="H1120" s="194"/>
      <c r="I1120" s="195"/>
      <c r="J1120" s="172"/>
      <c r="K1120" s="264"/>
      <c r="N1120" s="203"/>
    </row>
    <row r="1121" spans="1:14" ht="25.5">
      <c r="A1121" s="257" t="s">
        <v>2102</v>
      </c>
      <c r="B1121" s="170" t="s">
        <v>2014</v>
      </c>
      <c r="C1121" s="186" t="s">
        <v>43</v>
      </c>
      <c r="D1121" s="186" t="s">
        <v>2015</v>
      </c>
      <c r="E1121" s="171" t="s">
        <v>126</v>
      </c>
      <c r="F1121" s="170">
        <v>133.07</v>
      </c>
      <c r="G1121" s="172"/>
      <c r="H1121" s="194"/>
      <c r="I1121" s="195"/>
      <c r="J1121" s="172"/>
      <c r="K1121" s="264"/>
      <c r="N1121" s="203"/>
    </row>
    <row r="1122" spans="1:14" ht="25.5">
      <c r="A1122" s="257" t="s">
        <v>2103</v>
      </c>
      <c r="B1122" s="170" t="s">
        <v>2017</v>
      </c>
      <c r="C1122" s="186" t="s">
        <v>43</v>
      </c>
      <c r="D1122" s="186" t="s">
        <v>2018</v>
      </c>
      <c r="E1122" s="171" t="s">
        <v>126</v>
      </c>
      <c r="F1122" s="170">
        <v>9.5</v>
      </c>
      <c r="G1122" s="172"/>
      <c r="H1122" s="194"/>
      <c r="I1122" s="195"/>
      <c r="J1122" s="172"/>
      <c r="K1122" s="264"/>
      <c r="N1122" s="203"/>
    </row>
    <row r="1123" spans="1:14" ht="38.25">
      <c r="A1123" s="257" t="s">
        <v>2104</v>
      </c>
      <c r="B1123" s="170" t="s">
        <v>124</v>
      </c>
      <c r="C1123" s="186" t="s">
        <v>34</v>
      </c>
      <c r="D1123" s="186" t="s">
        <v>125</v>
      </c>
      <c r="E1123" s="171" t="s">
        <v>126</v>
      </c>
      <c r="F1123" s="170">
        <v>3.3</v>
      </c>
      <c r="G1123" s="172"/>
      <c r="H1123" s="194"/>
      <c r="I1123" s="195"/>
      <c r="J1123" s="172"/>
      <c r="K1123" s="264"/>
      <c r="N1123" s="202"/>
    </row>
    <row r="1124" spans="1:14" ht="38.25">
      <c r="A1124" s="257" t="s">
        <v>2105</v>
      </c>
      <c r="B1124" s="170" t="s">
        <v>1720</v>
      </c>
      <c r="C1124" s="186" t="s">
        <v>43</v>
      </c>
      <c r="D1124" s="186" t="s">
        <v>1721</v>
      </c>
      <c r="E1124" s="171" t="s">
        <v>126</v>
      </c>
      <c r="F1124" s="170">
        <v>23.29</v>
      </c>
      <c r="G1124" s="172"/>
      <c r="H1124" s="194"/>
      <c r="I1124" s="195"/>
      <c r="J1124" s="172"/>
      <c r="K1124" s="264"/>
      <c r="N1124" s="203"/>
    </row>
    <row r="1125" spans="1:14">
      <c r="A1125" s="259" t="s">
        <v>2106</v>
      </c>
      <c r="B1125" s="187"/>
      <c r="C1125" s="187"/>
      <c r="D1125" s="187" t="s">
        <v>2022</v>
      </c>
      <c r="E1125" s="187"/>
      <c r="F1125" s="169"/>
      <c r="G1125" s="187"/>
      <c r="H1125" s="193"/>
      <c r="I1125" s="187"/>
      <c r="J1125" s="192"/>
      <c r="K1125" s="263"/>
      <c r="N1125" s="203"/>
    </row>
    <row r="1126" spans="1:14" ht="25.5">
      <c r="A1126" s="257" t="s">
        <v>2107</v>
      </c>
      <c r="B1126" s="170" t="s">
        <v>2030</v>
      </c>
      <c r="C1126" s="186" t="s">
        <v>43</v>
      </c>
      <c r="D1126" s="186" t="s">
        <v>2031</v>
      </c>
      <c r="E1126" s="171" t="s">
        <v>36</v>
      </c>
      <c r="F1126" s="170">
        <v>11</v>
      </c>
      <c r="G1126" s="172"/>
      <c r="H1126" s="194"/>
      <c r="I1126" s="195"/>
      <c r="J1126" s="172"/>
      <c r="K1126" s="264"/>
      <c r="N1126" s="203"/>
    </row>
    <row r="1127" spans="1:14" ht="25.5">
      <c r="A1127" s="257" t="s">
        <v>2108</v>
      </c>
      <c r="B1127" s="170" t="s">
        <v>2027</v>
      </c>
      <c r="C1127" s="186" t="s">
        <v>43</v>
      </c>
      <c r="D1127" s="186" t="s">
        <v>2028</v>
      </c>
      <c r="E1127" s="171" t="s">
        <v>36</v>
      </c>
      <c r="F1127" s="170">
        <v>2</v>
      </c>
      <c r="G1127" s="172"/>
      <c r="H1127" s="194"/>
      <c r="I1127" s="195"/>
      <c r="J1127" s="172"/>
      <c r="K1127" s="264"/>
      <c r="N1127" s="203"/>
    </row>
    <row r="1128" spans="1:14" ht="25.5">
      <c r="A1128" s="257" t="s">
        <v>2109</v>
      </c>
      <c r="B1128" s="170" t="s">
        <v>2033</v>
      </c>
      <c r="C1128" s="186" t="s">
        <v>34</v>
      </c>
      <c r="D1128" s="186" t="s">
        <v>2034</v>
      </c>
      <c r="E1128" s="171" t="s">
        <v>36</v>
      </c>
      <c r="F1128" s="170">
        <v>10</v>
      </c>
      <c r="G1128" s="172"/>
      <c r="H1128" s="194"/>
      <c r="I1128" s="195"/>
      <c r="J1128" s="172"/>
      <c r="K1128" s="264"/>
      <c r="N1128" s="203"/>
    </row>
    <row r="1129" spans="1:14" ht="51">
      <c r="A1129" s="257" t="s">
        <v>2110</v>
      </c>
      <c r="B1129" s="170" t="s">
        <v>2036</v>
      </c>
      <c r="C1129" s="186" t="s">
        <v>34</v>
      </c>
      <c r="D1129" s="186" t="s">
        <v>2037</v>
      </c>
      <c r="E1129" s="171" t="s">
        <v>36</v>
      </c>
      <c r="F1129" s="170">
        <v>1</v>
      </c>
      <c r="G1129" s="172"/>
      <c r="H1129" s="194"/>
      <c r="I1129" s="195"/>
      <c r="J1129" s="172"/>
      <c r="K1129" s="264"/>
      <c r="N1129" s="203"/>
    </row>
    <row r="1130" spans="1:14">
      <c r="A1130" s="257" t="s">
        <v>2111</v>
      </c>
      <c r="B1130" s="170" t="s">
        <v>2039</v>
      </c>
      <c r="C1130" s="186" t="s">
        <v>34</v>
      </c>
      <c r="D1130" s="186" t="s">
        <v>2040</v>
      </c>
      <c r="E1130" s="171" t="s">
        <v>144</v>
      </c>
      <c r="F1130" s="170">
        <v>59.35</v>
      </c>
      <c r="G1130" s="172"/>
      <c r="H1130" s="194"/>
      <c r="I1130" s="195"/>
      <c r="J1130" s="172"/>
      <c r="K1130" s="264"/>
      <c r="N1130" s="203"/>
    </row>
    <row r="1131" spans="1:14" ht="25.5">
      <c r="A1131" s="257" t="s">
        <v>2112</v>
      </c>
      <c r="B1131" s="170" t="s">
        <v>2048</v>
      </c>
      <c r="C1131" s="186" t="s">
        <v>43</v>
      </c>
      <c r="D1131" s="186" t="s">
        <v>2049</v>
      </c>
      <c r="E1131" s="171" t="s">
        <v>36</v>
      </c>
      <c r="F1131" s="170">
        <v>2</v>
      </c>
      <c r="G1131" s="172"/>
      <c r="H1131" s="194"/>
      <c r="I1131" s="195"/>
      <c r="J1131" s="172"/>
      <c r="K1131" s="264"/>
      <c r="N1131" s="202"/>
    </row>
    <row r="1132" spans="1:14" ht="38.25">
      <c r="A1132" s="257" t="s">
        <v>2113</v>
      </c>
      <c r="B1132" s="170" t="s">
        <v>2045</v>
      </c>
      <c r="C1132" s="186" t="s">
        <v>43</v>
      </c>
      <c r="D1132" s="186" t="s">
        <v>2046</v>
      </c>
      <c r="E1132" s="171" t="s">
        <v>144</v>
      </c>
      <c r="F1132" s="170">
        <v>59.35</v>
      </c>
      <c r="G1132" s="172"/>
      <c r="H1132" s="194"/>
      <c r="I1132" s="195"/>
      <c r="J1132" s="172"/>
      <c r="K1132" s="264"/>
      <c r="N1132" s="202"/>
    </row>
    <row r="1133" spans="1:14">
      <c r="A1133" s="259" t="s">
        <v>1426</v>
      </c>
      <c r="B1133" s="187"/>
      <c r="C1133" s="187"/>
      <c r="D1133" s="187" t="s">
        <v>18</v>
      </c>
      <c r="E1133" s="187"/>
      <c r="F1133" s="169"/>
      <c r="G1133" s="187"/>
      <c r="H1133" s="193"/>
      <c r="I1133" s="187"/>
      <c r="J1133" s="192"/>
      <c r="K1133" s="263"/>
      <c r="N1133" s="203"/>
    </row>
    <row r="1134" spans="1:14">
      <c r="A1134" s="259" t="s">
        <v>2114</v>
      </c>
      <c r="B1134" s="187"/>
      <c r="C1134" s="187"/>
      <c r="D1134" s="187" t="s">
        <v>1965</v>
      </c>
      <c r="E1134" s="187"/>
      <c r="F1134" s="169"/>
      <c r="G1134" s="187"/>
      <c r="H1134" s="193"/>
      <c r="I1134" s="187"/>
      <c r="J1134" s="192"/>
      <c r="K1134" s="263"/>
      <c r="N1134" s="203"/>
    </row>
    <row r="1135" spans="1:14" ht="38.25">
      <c r="A1135" s="257" t="s">
        <v>2115</v>
      </c>
      <c r="B1135" s="170" t="s">
        <v>1967</v>
      </c>
      <c r="C1135" s="186" t="s">
        <v>43</v>
      </c>
      <c r="D1135" s="186" t="s">
        <v>1968</v>
      </c>
      <c r="E1135" s="171" t="s">
        <v>144</v>
      </c>
      <c r="F1135" s="170">
        <v>21.65</v>
      </c>
      <c r="G1135" s="172"/>
      <c r="H1135" s="194"/>
      <c r="I1135" s="195"/>
      <c r="J1135" s="172"/>
      <c r="K1135" s="264"/>
      <c r="N1135" s="203"/>
    </row>
    <row r="1136" spans="1:14" ht="38.25">
      <c r="A1136" s="257" t="s">
        <v>2116</v>
      </c>
      <c r="B1136" s="170" t="s">
        <v>1970</v>
      </c>
      <c r="C1136" s="186" t="s">
        <v>43</v>
      </c>
      <c r="D1136" s="186" t="s">
        <v>1971</v>
      </c>
      <c r="E1136" s="171" t="s">
        <v>126</v>
      </c>
      <c r="F1136" s="170">
        <v>51.06</v>
      </c>
      <c r="G1136" s="172"/>
      <c r="H1136" s="194"/>
      <c r="I1136" s="195"/>
      <c r="J1136" s="172"/>
      <c r="K1136" s="264"/>
      <c r="N1136" s="203"/>
    </row>
    <row r="1137" spans="1:14" ht="25.5">
      <c r="A1137" s="257" t="s">
        <v>2117</v>
      </c>
      <c r="B1137" s="170" t="s">
        <v>1976</v>
      </c>
      <c r="C1137" s="186" t="s">
        <v>43</v>
      </c>
      <c r="D1137" s="186" t="s">
        <v>1977</v>
      </c>
      <c r="E1137" s="171" t="s">
        <v>45</v>
      </c>
      <c r="F1137" s="170">
        <v>27.6</v>
      </c>
      <c r="G1137" s="172"/>
      <c r="H1137" s="194"/>
      <c r="I1137" s="195"/>
      <c r="J1137" s="172"/>
      <c r="K1137" s="264"/>
      <c r="N1137" s="203"/>
    </row>
    <row r="1138" spans="1:14" ht="25.5">
      <c r="A1138" s="257" t="s">
        <v>2118</v>
      </c>
      <c r="B1138" s="170" t="s">
        <v>1982</v>
      </c>
      <c r="C1138" s="186" t="s">
        <v>43</v>
      </c>
      <c r="D1138" s="186" t="s">
        <v>1983</v>
      </c>
      <c r="E1138" s="171" t="s">
        <v>45</v>
      </c>
      <c r="F1138" s="170">
        <v>9.4</v>
      </c>
      <c r="G1138" s="172"/>
      <c r="H1138" s="194"/>
      <c r="I1138" s="195"/>
      <c r="J1138" s="172"/>
      <c r="K1138" s="264"/>
      <c r="N1138" s="203"/>
    </row>
    <row r="1139" spans="1:14" ht="51">
      <c r="A1139" s="257" t="s">
        <v>2119</v>
      </c>
      <c r="B1139" s="170" t="s">
        <v>1988</v>
      </c>
      <c r="C1139" s="186" t="s">
        <v>43</v>
      </c>
      <c r="D1139" s="186" t="s">
        <v>1989</v>
      </c>
      <c r="E1139" s="171" t="s">
        <v>45</v>
      </c>
      <c r="F1139" s="170">
        <v>14</v>
      </c>
      <c r="G1139" s="172"/>
      <c r="H1139" s="194"/>
      <c r="I1139" s="195"/>
      <c r="J1139" s="172"/>
      <c r="K1139" s="264"/>
      <c r="N1139" s="203"/>
    </row>
    <row r="1140" spans="1:14" ht="25.5">
      <c r="A1140" s="257" t="s">
        <v>2120</v>
      </c>
      <c r="B1140" s="170" t="s">
        <v>2003</v>
      </c>
      <c r="C1140" s="186" t="s">
        <v>43</v>
      </c>
      <c r="D1140" s="186" t="s">
        <v>2004</v>
      </c>
      <c r="E1140" s="171" t="s">
        <v>80</v>
      </c>
      <c r="F1140" s="170">
        <v>286.73</v>
      </c>
      <c r="G1140" s="172"/>
      <c r="H1140" s="194"/>
      <c r="I1140" s="195"/>
      <c r="J1140" s="172"/>
      <c r="K1140" s="264"/>
      <c r="N1140" s="203"/>
    </row>
    <row r="1141" spans="1:14" ht="38.25">
      <c r="A1141" s="257" t="s">
        <v>2121</v>
      </c>
      <c r="B1141" s="170" t="s">
        <v>2122</v>
      </c>
      <c r="C1141" s="186" t="s">
        <v>43</v>
      </c>
      <c r="D1141" s="186" t="s">
        <v>2123</v>
      </c>
      <c r="E1141" s="171" t="s">
        <v>80</v>
      </c>
      <c r="F1141" s="170">
        <v>69.599999999999994</v>
      </c>
      <c r="G1141" s="172"/>
      <c r="H1141" s="194"/>
      <c r="I1141" s="195"/>
      <c r="J1141" s="172"/>
      <c r="K1141" s="264"/>
      <c r="N1141" s="203"/>
    </row>
    <row r="1142" spans="1:14" ht="38.25">
      <c r="A1142" s="257" t="s">
        <v>2124</v>
      </c>
      <c r="B1142" s="170" t="s">
        <v>94</v>
      </c>
      <c r="C1142" s="186" t="s">
        <v>43</v>
      </c>
      <c r="D1142" s="186" t="s">
        <v>95</v>
      </c>
      <c r="E1142" s="171" t="s">
        <v>80</v>
      </c>
      <c r="F1142" s="170">
        <v>133.55000000000001</v>
      </c>
      <c r="G1142" s="172"/>
      <c r="H1142" s="194"/>
      <c r="I1142" s="195"/>
      <c r="J1142" s="172"/>
      <c r="K1142" s="264"/>
      <c r="N1142" s="203"/>
    </row>
    <row r="1143" spans="1:14" ht="25.5">
      <c r="A1143" s="257" t="s">
        <v>2125</v>
      </c>
      <c r="B1143" s="170" t="s">
        <v>2014</v>
      </c>
      <c r="C1143" s="186" t="s">
        <v>43</v>
      </c>
      <c r="D1143" s="186" t="s">
        <v>2015</v>
      </c>
      <c r="E1143" s="171" t="s">
        <v>126</v>
      </c>
      <c r="F1143" s="170">
        <v>43.66</v>
      </c>
      <c r="G1143" s="172"/>
      <c r="H1143" s="194"/>
      <c r="I1143" s="195"/>
      <c r="J1143" s="172"/>
      <c r="K1143" s="264"/>
      <c r="N1143" s="203"/>
    </row>
    <row r="1144" spans="1:14" ht="25.5">
      <c r="A1144" s="257" t="s">
        <v>2126</v>
      </c>
      <c r="B1144" s="170" t="s">
        <v>2017</v>
      </c>
      <c r="C1144" s="186" t="s">
        <v>43</v>
      </c>
      <c r="D1144" s="186" t="s">
        <v>2018</v>
      </c>
      <c r="E1144" s="171" t="s">
        <v>126</v>
      </c>
      <c r="F1144" s="170">
        <v>7.4</v>
      </c>
      <c r="G1144" s="172"/>
      <c r="H1144" s="194"/>
      <c r="I1144" s="195"/>
      <c r="J1144" s="172"/>
      <c r="K1144" s="264"/>
      <c r="N1144" s="202"/>
    </row>
    <row r="1145" spans="1:14" ht="38.25">
      <c r="A1145" s="257" t="s">
        <v>2127</v>
      </c>
      <c r="B1145" s="170" t="s">
        <v>124</v>
      </c>
      <c r="C1145" s="186" t="s">
        <v>34</v>
      </c>
      <c r="D1145" s="186" t="s">
        <v>125</v>
      </c>
      <c r="E1145" s="171" t="s">
        <v>126</v>
      </c>
      <c r="F1145" s="170">
        <v>1.4</v>
      </c>
      <c r="G1145" s="172"/>
      <c r="H1145" s="194"/>
      <c r="I1145" s="195"/>
      <c r="J1145" s="172"/>
      <c r="K1145" s="264"/>
      <c r="N1145" s="202"/>
    </row>
    <row r="1146" spans="1:14">
      <c r="A1146" s="259" t="s">
        <v>1532</v>
      </c>
      <c r="B1146" s="187"/>
      <c r="C1146" s="187"/>
      <c r="D1146" s="187" t="s">
        <v>19</v>
      </c>
      <c r="E1146" s="187"/>
      <c r="F1146" s="169"/>
      <c r="G1146" s="187"/>
      <c r="H1146" s="193"/>
      <c r="I1146" s="187"/>
      <c r="J1146" s="192"/>
      <c r="K1146" s="263"/>
      <c r="N1146" s="203"/>
    </row>
    <row r="1147" spans="1:14">
      <c r="A1147" s="259" t="s">
        <v>2128</v>
      </c>
      <c r="B1147" s="187"/>
      <c r="C1147" s="187"/>
      <c r="D1147" s="187" t="s">
        <v>1965</v>
      </c>
      <c r="E1147" s="187"/>
      <c r="F1147" s="169"/>
      <c r="G1147" s="187"/>
      <c r="H1147" s="193"/>
      <c r="I1147" s="187"/>
      <c r="J1147" s="192"/>
      <c r="K1147" s="263"/>
      <c r="N1147" s="203"/>
    </row>
    <row r="1148" spans="1:14" ht="38.25">
      <c r="A1148" s="257" t="s">
        <v>2129</v>
      </c>
      <c r="B1148" s="170" t="s">
        <v>1967</v>
      </c>
      <c r="C1148" s="186" t="s">
        <v>43</v>
      </c>
      <c r="D1148" s="186" t="s">
        <v>1968</v>
      </c>
      <c r="E1148" s="171" t="s">
        <v>144</v>
      </c>
      <c r="F1148" s="170">
        <v>93.5</v>
      </c>
      <c r="G1148" s="172"/>
      <c r="H1148" s="194"/>
      <c r="I1148" s="195"/>
      <c r="J1148" s="172"/>
      <c r="K1148" s="264"/>
      <c r="N1148" s="203"/>
    </row>
    <row r="1149" spans="1:14" ht="38.25">
      <c r="A1149" s="257" t="s">
        <v>2130</v>
      </c>
      <c r="B1149" s="170" t="s">
        <v>1970</v>
      </c>
      <c r="C1149" s="186" t="s">
        <v>43</v>
      </c>
      <c r="D1149" s="186" t="s">
        <v>1971</v>
      </c>
      <c r="E1149" s="171" t="s">
        <v>126</v>
      </c>
      <c r="F1149" s="170">
        <v>31.05</v>
      </c>
      <c r="G1149" s="172"/>
      <c r="H1149" s="194"/>
      <c r="I1149" s="195"/>
      <c r="J1149" s="172"/>
      <c r="K1149" s="264"/>
      <c r="N1149" s="203"/>
    </row>
    <row r="1150" spans="1:14" ht="38.25">
      <c r="A1150" s="257" t="s">
        <v>2131</v>
      </c>
      <c r="B1150" s="170" t="s">
        <v>1973</v>
      </c>
      <c r="C1150" s="186" t="s">
        <v>43</v>
      </c>
      <c r="D1150" s="186" t="s">
        <v>1974</v>
      </c>
      <c r="E1150" s="171" t="s">
        <v>126</v>
      </c>
      <c r="F1150" s="170">
        <v>5.23</v>
      </c>
      <c r="G1150" s="172"/>
      <c r="H1150" s="194"/>
      <c r="I1150" s="195"/>
      <c r="J1150" s="172"/>
      <c r="K1150" s="264"/>
      <c r="N1150" s="203"/>
    </row>
    <row r="1151" spans="1:14" ht="25.5">
      <c r="A1151" s="257" t="s">
        <v>2132</v>
      </c>
      <c r="B1151" s="170" t="s">
        <v>1976</v>
      </c>
      <c r="C1151" s="186" t="s">
        <v>43</v>
      </c>
      <c r="D1151" s="186" t="s">
        <v>1977</v>
      </c>
      <c r="E1151" s="171" t="s">
        <v>45</v>
      </c>
      <c r="F1151" s="170">
        <v>87.24</v>
      </c>
      <c r="G1151" s="172"/>
      <c r="H1151" s="194"/>
      <c r="I1151" s="195"/>
      <c r="J1151" s="172"/>
      <c r="K1151" s="264"/>
      <c r="N1151" s="203"/>
    </row>
    <row r="1152" spans="1:14" ht="38.25">
      <c r="A1152" s="257" t="s">
        <v>2133</v>
      </c>
      <c r="B1152" s="170" t="s">
        <v>1979</v>
      </c>
      <c r="C1152" s="186" t="s">
        <v>43</v>
      </c>
      <c r="D1152" s="186" t="s">
        <v>1980</v>
      </c>
      <c r="E1152" s="171" t="s">
        <v>126</v>
      </c>
      <c r="F1152" s="170">
        <v>3.5</v>
      </c>
      <c r="G1152" s="172"/>
      <c r="H1152" s="194"/>
      <c r="I1152" s="195"/>
      <c r="J1152" s="172"/>
      <c r="K1152" s="264"/>
      <c r="N1152" s="203"/>
    </row>
    <row r="1153" spans="1:14" ht="25.5">
      <c r="A1153" s="257" t="s">
        <v>2134</v>
      </c>
      <c r="B1153" s="170" t="s">
        <v>1982</v>
      </c>
      <c r="C1153" s="186" t="s">
        <v>43</v>
      </c>
      <c r="D1153" s="186" t="s">
        <v>1983</v>
      </c>
      <c r="E1153" s="171" t="s">
        <v>45</v>
      </c>
      <c r="F1153" s="170">
        <v>12.7</v>
      </c>
      <c r="G1153" s="172"/>
      <c r="H1153" s="194"/>
      <c r="I1153" s="195"/>
      <c r="J1153" s="172"/>
      <c r="K1153" s="264"/>
      <c r="N1153" s="203"/>
    </row>
    <row r="1154" spans="1:14" ht="38.25">
      <c r="A1154" s="257" t="s">
        <v>2135</v>
      </c>
      <c r="B1154" s="170" t="s">
        <v>1985</v>
      </c>
      <c r="C1154" s="186" t="s">
        <v>43</v>
      </c>
      <c r="D1154" s="186" t="s">
        <v>1986</v>
      </c>
      <c r="E1154" s="171" t="s">
        <v>45</v>
      </c>
      <c r="F1154" s="170">
        <v>54.9</v>
      </c>
      <c r="G1154" s="172"/>
      <c r="H1154" s="194"/>
      <c r="I1154" s="195"/>
      <c r="J1154" s="172"/>
      <c r="K1154" s="264"/>
      <c r="N1154" s="203"/>
    </row>
    <row r="1155" spans="1:14" ht="51">
      <c r="A1155" s="257" t="s">
        <v>2136</v>
      </c>
      <c r="B1155" s="170" t="s">
        <v>1988</v>
      </c>
      <c r="C1155" s="186" t="s">
        <v>43</v>
      </c>
      <c r="D1155" s="186" t="s">
        <v>1989</v>
      </c>
      <c r="E1155" s="171" t="s">
        <v>45</v>
      </c>
      <c r="F1155" s="170">
        <v>40</v>
      </c>
      <c r="G1155" s="172"/>
      <c r="H1155" s="194"/>
      <c r="I1155" s="195"/>
      <c r="J1155" s="172"/>
      <c r="K1155" s="264"/>
      <c r="N1155" s="203"/>
    </row>
    <row r="1156" spans="1:14" ht="25.5">
      <c r="A1156" s="257" t="s">
        <v>2137</v>
      </c>
      <c r="B1156" s="170" t="s">
        <v>2138</v>
      </c>
      <c r="C1156" s="186" t="s">
        <v>43</v>
      </c>
      <c r="D1156" s="186" t="s">
        <v>2139</v>
      </c>
      <c r="E1156" s="171" t="s">
        <v>45</v>
      </c>
      <c r="F1156" s="170">
        <v>118</v>
      </c>
      <c r="G1156" s="172"/>
      <c r="H1156" s="194"/>
      <c r="I1156" s="195"/>
      <c r="J1156" s="172"/>
      <c r="K1156" s="264"/>
      <c r="N1156" s="203"/>
    </row>
    <row r="1157" spans="1:14" ht="25.5">
      <c r="A1157" s="257" t="s">
        <v>2140</v>
      </c>
      <c r="B1157" s="170" t="s">
        <v>1991</v>
      </c>
      <c r="C1157" s="186" t="s">
        <v>43</v>
      </c>
      <c r="D1157" s="186" t="s">
        <v>1992</v>
      </c>
      <c r="E1157" s="171" t="s">
        <v>80</v>
      </c>
      <c r="F1157" s="170">
        <v>83.27</v>
      </c>
      <c r="G1157" s="172"/>
      <c r="H1157" s="194"/>
      <c r="I1157" s="195"/>
      <c r="J1157" s="172"/>
      <c r="K1157" s="264"/>
      <c r="N1157" s="203"/>
    </row>
    <row r="1158" spans="1:14" ht="25.5">
      <c r="A1158" s="257" t="s">
        <v>2141</v>
      </c>
      <c r="B1158" s="170" t="s">
        <v>2000</v>
      </c>
      <c r="C1158" s="186" t="s">
        <v>43</v>
      </c>
      <c r="D1158" s="186" t="s">
        <v>2001</v>
      </c>
      <c r="E1158" s="171" t="s">
        <v>80</v>
      </c>
      <c r="F1158" s="170">
        <v>10.82</v>
      </c>
      <c r="G1158" s="172"/>
      <c r="H1158" s="194"/>
      <c r="I1158" s="195"/>
      <c r="J1158" s="172"/>
      <c r="K1158" s="264"/>
      <c r="N1158" s="203"/>
    </row>
    <row r="1159" spans="1:14" ht="25.5">
      <c r="A1159" s="257" t="s">
        <v>2142</v>
      </c>
      <c r="B1159" s="170" t="s">
        <v>2003</v>
      </c>
      <c r="C1159" s="186" t="s">
        <v>43</v>
      </c>
      <c r="D1159" s="186" t="s">
        <v>2004</v>
      </c>
      <c r="E1159" s="171" t="s">
        <v>80</v>
      </c>
      <c r="F1159" s="170">
        <v>88.01</v>
      </c>
      <c r="G1159" s="172"/>
      <c r="H1159" s="194"/>
      <c r="I1159" s="195"/>
      <c r="J1159" s="172"/>
      <c r="K1159" s="264"/>
      <c r="N1159" s="203"/>
    </row>
    <row r="1160" spans="1:14" ht="38.25">
      <c r="A1160" s="257" t="s">
        <v>2143</v>
      </c>
      <c r="B1160" s="170" t="s">
        <v>78</v>
      </c>
      <c r="C1160" s="186" t="s">
        <v>43</v>
      </c>
      <c r="D1160" s="186" t="s">
        <v>79</v>
      </c>
      <c r="E1160" s="171" t="s">
        <v>80</v>
      </c>
      <c r="F1160" s="170">
        <v>44.73</v>
      </c>
      <c r="G1160" s="172"/>
      <c r="H1160" s="194"/>
      <c r="I1160" s="195"/>
      <c r="J1160" s="172"/>
      <c r="K1160" s="264"/>
      <c r="N1160" s="203"/>
    </row>
    <row r="1161" spans="1:14" ht="38.25">
      <c r="A1161" s="257" t="s">
        <v>2144</v>
      </c>
      <c r="B1161" s="170" t="s">
        <v>88</v>
      </c>
      <c r="C1161" s="186" t="s">
        <v>43</v>
      </c>
      <c r="D1161" s="186" t="s">
        <v>89</v>
      </c>
      <c r="E1161" s="171" t="s">
        <v>80</v>
      </c>
      <c r="F1161" s="170">
        <v>74.38</v>
      </c>
      <c r="G1161" s="172"/>
      <c r="H1161" s="194"/>
      <c r="I1161" s="195"/>
      <c r="J1161" s="172"/>
      <c r="K1161" s="264"/>
      <c r="N1161" s="203"/>
    </row>
    <row r="1162" spans="1:14" ht="38.25">
      <c r="A1162" s="257" t="s">
        <v>2145</v>
      </c>
      <c r="B1162" s="170" t="s">
        <v>91</v>
      </c>
      <c r="C1162" s="186" t="s">
        <v>43</v>
      </c>
      <c r="D1162" s="186" t="s">
        <v>92</v>
      </c>
      <c r="E1162" s="171" t="s">
        <v>80</v>
      </c>
      <c r="F1162" s="170">
        <v>180.1</v>
      </c>
      <c r="G1162" s="172"/>
      <c r="H1162" s="194"/>
      <c r="I1162" s="195"/>
      <c r="J1162" s="172"/>
      <c r="K1162" s="264"/>
      <c r="N1162" s="203"/>
    </row>
    <row r="1163" spans="1:14" ht="38.25">
      <c r="A1163" s="257" t="s">
        <v>2146</v>
      </c>
      <c r="B1163" s="170" t="s">
        <v>1685</v>
      </c>
      <c r="C1163" s="186" t="s">
        <v>43</v>
      </c>
      <c r="D1163" s="186" t="s">
        <v>1686</v>
      </c>
      <c r="E1163" s="171" t="s">
        <v>80</v>
      </c>
      <c r="F1163" s="170">
        <v>27.45</v>
      </c>
      <c r="G1163" s="172"/>
      <c r="H1163" s="194"/>
      <c r="I1163" s="195"/>
      <c r="J1163" s="172"/>
      <c r="K1163" s="264"/>
      <c r="N1163" s="203"/>
    </row>
    <row r="1164" spans="1:14" ht="38.25">
      <c r="A1164" s="257" t="s">
        <v>2147</v>
      </c>
      <c r="B1164" s="170" t="s">
        <v>1679</v>
      </c>
      <c r="C1164" s="186" t="s">
        <v>43</v>
      </c>
      <c r="D1164" s="186" t="s">
        <v>1680</v>
      </c>
      <c r="E1164" s="171" t="s">
        <v>80</v>
      </c>
      <c r="F1164" s="170">
        <v>0.55000000000000004</v>
      </c>
      <c r="G1164" s="172"/>
      <c r="H1164" s="194"/>
      <c r="I1164" s="195"/>
      <c r="J1164" s="172"/>
      <c r="K1164" s="264"/>
      <c r="N1164" s="203"/>
    </row>
    <row r="1165" spans="1:14" ht="38.25">
      <c r="A1165" s="257" t="s">
        <v>2148</v>
      </c>
      <c r="B1165" s="170" t="s">
        <v>1688</v>
      </c>
      <c r="C1165" s="186" t="s">
        <v>43</v>
      </c>
      <c r="D1165" s="186" t="s">
        <v>1689</v>
      </c>
      <c r="E1165" s="171" t="s">
        <v>80</v>
      </c>
      <c r="F1165" s="170">
        <v>4.7300000000000004</v>
      </c>
      <c r="G1165" s="172"/>
      <c r="H1165" s="194"/>
      <c r="I1165" s="195"/>
      <c r="J1165" s="172"/>
      <c r="K1165" s="264"/>
      <c r="N1165" s="203"/>
    </row>
    <row r="1166" spans="1:14" ht="25.5">
      <c r="A1166" s="257" t="s">
        <v>2149</v>
      </c>
      <c r="B1166" s="170" t="s">
        <v>1432</v>
      </c>
      <c r="C1166" s="186" t="s">
        <v>43</v>
      </c>
      <c r="D1166" s="186" t="s">
        <v>1433</v>
      </c>
      <c r="E1166" s="171" t="s">
        <v>80</v>
      </c>
      <c r="F1166" s="170">
        <v>321.18</v>
      </c>
      <c r="G1166" s="172"/>
      <c r="H1166" s="194"/>
      <c r="I1166" s="195"/>
      <c r="J1166" s="172"/>
      <c r="K1166" s="264"/>
      <c r="N1166" s="203"/>
    </row>
    <row r="1167" spans="1:14" ht="25.5">
      <c r="A1167" s="257" t="s">
        <v>2150</v>
      </c>
      <c r="B1167" s="170" t="s">
        <v>1435</v>
      </c>
      <c r="C1167" s="186" t="s">
        <v>43</v>
      </c>
      <c r="D1167" s="186" t="s">
        <v>1436</v>
      </c>
      <c r="E1167" s="171" t="s">
        <v>80</v>
      </c>
      <c r="F1167" s="170">
        <v>717.55</v>
      </c>
      <c r="G1167" s="172"/>
      <c r="H1167" s="194"/>
      <c r="I1167" s="195"/>
      <c r="J1167" s="172"/>
      <c r="K1167" s="264"/>
      <c r="N1167" s="203"/>
    </row>
    <row r="1168" spans="1:14" ht="25.5">
      <c r="A1168" s="257" t="s">
        <v>2151</v>
      </c>
      <c r="B1168" s="170" t="s">
        <v>1438</v>
      </c>
      <c r="C1168" s="186" t="s">
        <v>43</v>
      </c>
      <c r="D1168" s="186" t="s">
        <v>1439</v>
      </c>
      <c r="E1168" s="171" t="s">
        <v>80</v>
      </c>
      <c r="F1168" s="170">
        <v>258</v>
      </c>
      <c r="G1168" s="172"/>
      <c r="H1168" s="194"/>
      <c r="I1168" s="195"/>
      <c r="J1168" s="172"/>
      <c r="K1168" s="264"/>
      <c r="N1168" s="203"/>
    </row>
    <row r="1169" spans="1:14" ht="25.5">
      <c r="A1169" s="257" t="s">
        <v>2152</v>
      </c>
      <c r="B1169" s="170" t="s">
        <v>1429</v>
      </c>
      <c r="C1169" s="186" t="s">
        <v>43</v>
      </c>
      <c r="D1169" s="186" t="s">
        <v>1430</v>
      </c>
      <c r="E1169" s="171" t="s">
        <v>80</v>
      </c>
      <c r="F1169" s="170">
        <v>53</v>
      </c>
      <c r="G1169" s="172"/>
      <c r="H1169" s="194"/>
      <c r="I1169" s="195"/>
      <c r="J1169" s="172"/>
      <c r="K1169" s="264"/>
      <c r="N1169" s="203"/>
    </row>
    <row r="1170" spans="1:14" ht="38.25">
      <c r="A1170" s="257" t="s">
        <v>2153</v>
      </c>
      <c r="B1170" s="170" t="s">
        <v>2154</v>
      </c>
      <c r="C1170" s="186" t="s">
        <v>43</v>
      </c>
      <c r="D1170" s="186" t="s">
        <v>2155</v>
      </c>
      <c r="E1170" s="171" t="s">
        <v>45</v>
      </c>
      <c r="F1170" s="170">
        <v>8.1</v>
      </c>
      <c r="G1170" s="172"/>
      <c r="H1170" s="194"/>
      <c r="I1170" s="195"/>
      <c r="J1170" s="172"/>
      <c r="K1170" s="264"/>
      <c r="N1170" s="203"/>
    </row>
    <row r="1171" spans="1:14" ht="25.5">
      <c r="A1171" s="257" t="s">
        <v>2156</v>
      </c>
      <c r="B1171" s="170" t="s">
        <v>2011</v>
      </c>
      <c r="C1171" s="186" t="s">
        <v>43</v>
      </c>
      <c r="D1171" s="186" t="s">
        <v>2012</v>
      </c>
      <c r="E1171" s="171" t="s">
        <v>80</v>
      </c>
      <c r="F1171" s="170">
        <v>196.65</v>
      </c>
      <c r="G1171" s="172"/>
      <c r="H1171" s="194"/>
      <c r="I1171" s="195"/>
      <c r="J1171" s="172"/>
      <c r="K1171" s="264"/>
      <c r="N1171" s="203"/>
    </row>
    <row r="1172" spans="1:14" ht="25.5">
      <c r="A1172" s="257" t="s">
        <v>2157</v>
      </c>
      <c r="B1172" s="170" t="s">
        <v>2014</v>
      </c>
      <c r="C1172" s="186" t="s">
        <v>43</v>
      </c>
      <c r="D1172" s="186" t="s">
        <v>2015</v>
      </c>
      <c r="E1172" s="171" t="s">
        <v>126</v>
      </c>
      <c r="F1172" s="170">
        <v>29.88</v>
      </c>
      <c r="G1172" s="172"/>
      <c r="H1172" s="194"/>
      <c r="I1172" s="195"/>
      <c r="J1172" s="172"/>
      <c r="K1172" s="264"/>
      <c r="N1172" s="203"/>
    </row>
    <row r="1173" spans="1:14" ht="25.5">
      <c r="A1173" s="257" t="s">
        <v>2158</v>
      </c>
      <c r="B1173" s="170" t="s">
        <v>2017</v>
      </c>
      <c r="C1173" s="186" t="s">
        <v>43</v>
      </c>
      <c r="D1173" s="186" t="s">
        <v>2018</v>
      </c>
      <c r="E1173" s="171" t="s">
        <v>126</v>
      </c>
      <c r="F1173" s="170">
        <v>2.9</v>
      </c>
      <c r="G1173" s="172"/>
      <c r="H1173" s="194"/>
      <c r="I1173" s="195"/>
      <c r="J1173" s="172"/>
      <c r="K1173" s="264"/>
      <c r="N1173" s="203"/>
    </row>
    <row r="1174" spans="1:14" ht="38.25">
      <c r="A1174" s="257" t="s">
        <v>2159</v>
      </c>
      <c r="B1174" s="170" t="s">
        <v>124</v>
      </c>
      <c r="C1174" s="186" t="s">
        <v>34</v>
      </c>
      <c r="D1174" s="186" t="s">
        <v>125</v>
      </c>
      <c r="E1174" s="171" t="s">
        <v>126</v>
      </c>
      <c r="F1174" s="170">
        <v>3.2</v>
      </c>
      <c r="G1174" s="172"/>
      <c r="H1174" s="194"/>
      <c r="I1174" s="195"/>
      <c r="J1174" s="172"/>
      <c r="K1174" s="264"/>
      <c r="N1174" s="203"/>
    </row>
    <row r="1175" spans="1:14">
      <c r="A1175" s="257" t="s">
        <v>2160</v>
      </c>
      <c r="B1175" s="170" t="s">
        <v>2161</v>
      </c>
      <c r="C1175" s="186" t="s">
        <v>34</v>
      </c>
      <c r="D1175" s="186" t="s">
        <v>2162</v>
      </c>
      <c r="E1175" s="171" t="s">
        <v>126</v>
      </c>
      <c r="F1175" s="170">
        <v>38.68</v>
      </c>
      <c r="G1175" s="172"/>
      <c r="H1175" s="194"/>
      <c r="I1175" s="195"/>
      <c r="J1175" s="172"/>
      <c r="K1175" s="264"/>
      <c r="N1175" s="203"/>
    </row>
    <row r="1176" spans="1:14" ht="51">
      <c r="A1176" s="257" t="s">
        <v>2163</v>
      </c>
      <c r="B1176" s="170" t="s">
        <v>1935</v>
      </c>
      <c r="C1176" s="186" t="s">
        <v>43</v>
      </c>
      <c r="D1176" s="186" t="s">
        <v>1936</v>
      </c>
      <c r="E1176" s="171" t="s">
        <v>126</v>
      </c>
      <c r="F1176" s="170">
        <v>70.61</v>
      </c>
      <c r="G1176" s="172"/>
      <c r="H1176" s="194"/>
      <c r="I1176" s="195"/>
      <c r="J1176" s="172"/>
      <c r="K1176" s="264"/>
      <c r="N1176" s="203"/>
    </row>
    <row r="1177" spans="1:14" ht="51">
      <c r="A1177" s="257" t="s">
        <v>2164</v>
      </c>
      <c r="B1177" s="170" t="s">
        <v>2165</v>
      </c>
      <c r="C1177" s="186" t="s">
        <v>34</v>
      </c>
      <c r="D1177" s="186" t="s">
        <v>2166</v>
      </c>
      <c r="E1177" s="171" t="s">
        <v>126</v>
      </c>
      <c r="F1177" s="170">
        <v>14.7</v>
      </c>
      <c r="G1177" s="172"/>
      <c r="H1177" s="194"/>
      <c r="I1177" s="195"/>
      <c r="J1177" s="172"/>
      <c r="K1177" s="264"/>
      <c r="N1177" s="202"/>
    </row>
    <row r="1178" spans="1:14" ht="38.25">
      <c r="A1178" s="257" t="s">
        <v>2167</v>
      </c>
      <c r="B1178" s="170" t="s">
        <v>1720</v>
      </c>
      <c r="C1178" s="186" t="s">
        <v>43</v>
      </c>
      <c r="D1178" s="186" t="s">
        <v>1721</v>
      </c>
      <c r="E1178" s="171" t="s">
        <v>126</v>
      </c>
      <c r="F1178" s="170">
        <v>29.34</v>
      </c>
      <c r="G1178" s="172"/>
      <c r="H1178" s="194"/>
      <c r="I1178" s="195"/>
      <c r="J1178" s="172"/>
      <c r="K1178" s="264"/>
      <c r="N1178" s="203"/>
    </row>
    <row r="1179" spans="1:14">
      <c r="A1179" s="259" t="s">
        <v>2168</v>
      </c>
      <c r="B1179" s="187"/>
      <c r="C1179" s="187"/>
      <c r="D1179" s="187" t="s">
        <v>2022</v>
      </c>
      <c r="E1179" s="187"/>
      <c r="F1179" s="169"/>
      <c r="G1179" s="187"/>
      <c r="H1179" s="193"/>
      <c r="I1179" s="187"/>
      <c r="J1179" s="192"/>
      <c r="K1179" s="263"/>
      <c r="N1179" s="203"/>
    </row>
    <row r="1180" spans="1:14" ht="25.5">
      <c r="A1180" s="257" t="s">
        <v>2169</v>
      </c>
      <c r="B1180" s="170" t="s">
        <v>2027</v>
      </c>
      <c r="C1180" s="186" t="s">
        <v>43</v>
      </c>
      <c r="D1180" s="186" t="s">
        <v>2028</v>
      </c>
      <c r="E1180" s="171" t="s">
        <v>36</v>
      </c>
      <c r="F1180" s="170">
        <v>5</v>
      </c>
      <c r="G1180" s="172"/>
      <c r="H1180" s="194"/>
      <c r="I1180" s="195"/>
      <c r="J1180" s="172"/>
      <c r="K1180" s="264"/>
      <c r="N1180" s="203"/>
    </row>
    <row r="1181" spans="1:14" ht="25.5">
      <c r="A1181" s="257" t="s">
        <v>2170</v>
      </c>
      <c r="B1181" s="170" t="s">
        <v>2030</v>
      </c>
      <c r="C1181" s="186" t="s">
        <v>43</v>
      </c>
      <c r="D1181" s="186" t="s">
        <v>2031</v>
      </c>
      <c r="E1181" s="171" t="s">
        <v>36</v>
      </c>
      <c r="F1181" s="170">
        <v>3</v>
      </c>
      <c r="G1181" s="172"/>
      <c r="H1181" s="194"/>
      <c r="I1181" s="195"/>
      <c r="J1181" s="172"/>
      <c r="K1181" s="264"/>
      <c r="N1181" s="203"/>
    </row>
    <row r="1182" spans="1:14" ht="25.5">
      <c r="A1182" s="257" t="s">
        <v>2171</v>
      </c>
      <c r="B1182" s="170" t="s">
        <v>2172</v>
      </c>
      <c r="C1182" s="186" t="s">
        <v>34</v>
      </c>
      <c r="D1182" s="186" t="s">
        <v>2173</v>
      </c>
      <c r="E1182" s="171" t="s">
        <v>36</v>
      </c>
      <c r="F1182" s="170">
        <v>1</v>
      </c>
      <c r="G1182" s="172"/>
      <c r="H1182" s="194"/>
      <c r="I1182" s="195"/>
      <c r="J1182" s="172"/>
      <c r="K1182" s="264"/>
      <c r="N1182" s="203"/>
    </row>
    <row r="1183" spans="1:14">
      <c r="A1183" s="257" t="s">
        <v>2174</v>
      </c>
      <c r="B1183" s="170" t="s">
        <v>2039</v>
      </c>
      <c r="C1183" s="186" t="s">
        <v>34</v>
      </c>
      <c r="D1183" s="186" t="s">
        <v>2040</v>
      </c>
      <c r="E1183" s="171" t="s">
        <v>144</v>
      </c>
      <c r="F1183" s="170">
        <v>12.11</v>
      </c>
      <c r="G1183" s="172"/>
      <c r="H1183" s="194"/>
      <c r="I1183" s="195"/>
      <c r="J1183" s="172"/>
      <c r="K1183" s="264"/>
      <c r="N1183" s="203"/>
    </row>
    <row r="1184" spans="1:14" ht="38.25">
      <c r="A1184" s="257" t="s">
        <v>2175</v>
      </c>
      <c r="B1184" s="170" t="s">
        <v>2042</v>
      </c>
      <c r="C1184" s="186" t="s">
        <v>43</v>
      </c>
      <c r="D1184" s="186" t="s">
        <v>2043</v>
      </c>
      <c r="E1184" s="171" t="s">
        <v>36</v>
      </c>
      <c r="F1184" s="170">
        <v>1</v>
      </c>
      <c r="G1184" s="172"/>
      <c r="H1184" s="194"/>
      <c r="I1184" s="195"/>
      <c r="J1184" s="172"/>
      <c r="K1184" s="264"/>
      <c r="N1184" s="203"/>
    </row>
    <row r="1185" spans="1:14" ht="51">
      <c r="A1185" s="257" t="s">
        <v>2176</v>
      </c>
      <c r="B1185" s="170" t="s">
        <v>2177</v>
      </c>
      <c r="C1185" s="186" t="s">
        <v>43</v>
      </c>
      <c r="D1185" s="186" t="s">
        <v>2178</v>
      </c>
      <c r="E1185" s="171" t="s">
        <v>36</v>
      </c>
      <c r="F1185" s="170">
        <v>1</v>
      </c>
      <c r="G1185" s="172"/>
      <c r="H1185" s="194"/>
      <c r="I1185" s="195"/>
      <c r="J1185" s="172"/>
      <c r="K1185" s="264"/>
      <c r="N1185" s="203"/>
    </row>
    <row r="1186" spans="1:14" ht="25.5">
      <c r="A1186" s="257" t="s">
        <v>2179</v>
      </c>
      <c r="B1186" s="170" t="s">
        <v>2180</v>
      </c>
      <c r="C1186" s="186" t="s">
        <v>34</v>
      </c>
      <c r="D1186" s="186" t="s">
        <v>2181</v>
      </c>
      <c r="E1186" s="171" t="s">
        <v>36</v>
      </c>
      <c r="F1186" s="170">
        <v>2</v>
      </c>
      <c r="G1186" s="172"/>
      <c r="H1186" s="194"/>
      <c r="I1186" s="195"/>
      <c r="J1186" s="172"/>
      <c r="K1186" s="264"/>
      <c r="N1186" s="203"/>
    </row>
    <row r="1187" spans="1:14" ht="25.5">
      <c r="A1187" s="257" t="s">
        <v>2182</v>
      </c>
      <c r="B1187" s="170" t="s">
        <v>2183</v>
      </c>
      <c r="C1187" s="186" t="s">
        <v>34</v>
      </c>
      <c r="D1187" s="186" t="s">
        <v>2184</v>
      </c>
      <c r="E1187" s="171" t="s">
        <v>36</v>
      </c>
      <c r="F1187" s="170">
        <v>2</v>
      </c>
      <c r="G1187" s="172"/>
      <c r="H1187" s="194"/>
      <c r="I1187" s="195"/>
      <c r="J1187" s="172"/>
      <c r="K1187" s="264"/>
      <c r="N1187" s="203"/>
    </row>
    <row r="1188" spans="1:14" ht="38.25">
      <c r="A1188" s="257" t="s">
        <v>2185</v>
      </c>
      <c r="B1188" s="170" t="s">
        <v>2045</v>
      </c>
      <c r="C1188" s="186" t="s">
        <v>43</v>
      </c>
      <c r="D1188" s="186" t="s">
        <v>2046</v>
      </c>
      <c r="E1188" s="171" t="s">
        <v>144</v>
      </c>
      <c r="F1188" s="170">
        <v>12.11</v>
      </c>
      <c r="G1188" s="172"/>
      <c r="H1188" s="194"/>
      <c r="I1188" s="195"/>
      <c r="J1188" s="172"/>
      <c r="K1188" s="264"/>
      <c r="N1188" s="202"/>
    </row>
    <row r="1189" spans="1:14" ht="25.5">
      <c r="A1189" s="257" t="s">
        <v>2186</v>
      </c>
      <c r="B1189" s="170" t="s">
        <v>2048</v>
      </c>
      <c r="C1189" s="186" t="s">
        <v>43</v>
      </c>
      <c r="D1189" s="186" t="s">
        <v>2049</v>
      </c>
      <c r="E1189" s="171" t="s">
        <v>36</v>
      </c>
      <c r="F1189" s="170">
        <v>1</v>
      </c>
      <c r="G1189" s="172"/>
      <c r="H1189" s="194"/>
      <c r="I1189" s="195"/>
      <c r="J1189" s="172"/>
      <c r="K1189" s="264"/>
      <c r="N1189" s="202"/>
    </row>
    <row r="1190" spans="1:14">
      <c r="A1190" s="259" t="s">
        <v>1672</v>
      </c>
      <c r="B1190" s="187"/>
      <c r="C1190" s="187"/>
      <c r="D1190" s="187" t="s">
        <v>20</v>
      </c>
      <c r="E1190" s="187"/>
      <c r="F1190" s="169"/>
      <c r="G1190" s="187"/>
      <c r="H1190" s="193"/>
      <c r="I1190" s="187"/>
      <c r="J1190" s="192"/>
      <c r="K1190" s="263"/>
      <c r="N1190" s="203"/>
    </row>
    <row r="1191" spans="1:14">
      <c r="A1191" s="259" t="s">
        <v>2187</v>
      </c>
      <c r="B1191" s="187"/>
      <c r="C1191" s="187"/>
      <c r="D1191" s="187" t="s">
        <v>1965</v>
      </c>
      <c r="E1191" s="187"/>
      <c r="F1191" s="169"/>
      <c r="G1191" s="187"/>
      <c r="H1191" s="193"/>
      <c r="I1191" s="187"/>
      <c r="J1191" s="192"/>
      <c r="K1191" s="263"/>
      <c r="N1191" s="203"/>
    </row>
    <row r="1192" spans="1:14" ht="38.25">
      <c r="A1192" s="257" t="s">
        <v>2188</v>
      </c>
      <c r="B1192" s="170" t="s">
        <v>1967</v>
      </c>
      <c r="C1192" s="186" t="s">
        <v>43</v>
      </c>
      <c r="D1192" s="186" t="s">
        <v>1968</v>
      </c>
      <c r="E1192" s="171" t="s">
        <v>144</v>
      </c>
      <c r="F1192" s="170">
        <v>139.4</v>
      </c>
      <c r="G1192" s="172"/>
      <c r="H1192" s="194"/>
      <c r="I1192" s="195"/>
      <c r="J1192" s="172"/>
      <c r="K1192" s="264"/>
      <c r="N1192" s="203"/>
    </row>
    <row r="1193" spans="1:14" ht="38.25">
      <c r="A1193" s="257" t="s">
        <v>2189</v>
      </c>
      <c r="B1193" s="170" t="s">
        <v>1973</v>
      </c>
      <c r="C1193" s="186" t="s">
        <v>43</v>
      </c>
      <c r="D1193" s="186" t="s">
        <v>1974</v>
      </c>
      <c r="E1193" s="171" t="s">
        <v>126</v>
      </c>
      <c r="F1193" s="170">
        <v>66.97</v>
      </c>
      <c r="G1193" s="172"/>
      <c r="H1193" s="194"/>
      <c r="I1193" s="195"/>
      <c r="J1193" s="172"/>
      <c r="K1193" s="264"/>
      <c r="N1193" s="203"/>
    </row>
    <row r="1194" spans="1:14" ht="38.25">
      <c r="A1194" s="257" t="s">
        <v>2190</v>
      </c>
      <c r="B1194" s="170" t="s">
        <v>1970</v>
      </c>
      <c r="C1194" s="186" t="s">
        <v>43</v>
      </c>
      <c r="D1194" s="186" t="s">
        <v>1971</v>
      </c>
      <c r="E1194" s="171" t="s">
        <v>126</v>
      </c>
      <c r="F1194" s="170">
        <v>123.67</v>
      </c>
      <c r="G1194" s="172"/>
      <c r="H1194" s="194"/>
      <c r="I1194" s="195"/>
      <c r="J1194" s="172"/>
      <c r="K1194" s="264"/>
      <c r="N1194" s="203"/>
    </row>
    <row r="1195" spans="1:14" ht="25.5">
      <c r="A1195" s="257" t="s">
        <v>2191</v>
      </c>
      <c r="B1195" s="170" t="s">
        <v>1976</v>
      </c>
      <c r="C1195" s="186" t="s">
        <v>43</v>
      </c>
      <c r="D1195" s="186" t="s">
        <v>1977</v>
      </c>
      <c r="E1195" s="171" t="s">
        <v>45</v>
      </c>
      <c r="F1195" s="170">
        <v>118.98</v>
      </c>
      <c r="G1195" s="172"/>
      <c r="H1195" s="194"/>
      <c r="I1195" s="195"/>
      <c r="J1195" s="172"/>
      <c r="K1195" s="264"/>
      <c r="N1195" s="203"/>
    </row>
    <row r="1196" spans="1:14" ht="25.5">
      <c r="A1196" s="257" t="s">
        <v>2192</v>
      </c>
      <c r="B1196" s="170" t="s">
        <v>1982</v>
      </c>
      <c r="C1196" s="186" t="s">
        <v>43</v>
      </c>
      <c r="D1196" s="186" t="s">
        <v>1983</v>
      </c>
      <c r="E1196" s="171" t="s">
        <v>45</v>
      </c>
      <c r="F1196" s="170">
        <v>30.4</v>
      </c>
      <c r="G1196" s="172"/>
      <c r="H1196" s="194"/>
      <c r="I1196" s="195"/>
      <c r="J1196" s="172"/>
      <c r="K1196" s="264"/>
      <c r="N1196" s="203"/>
    </row>
    <row r="1197" spans="1:14" ht="25.5">
      <c r="A1197" s="257" t="s">
        <v>2193</v>
      </c>
      <c r="B1197" s="170" t="s">
        <v>2011</v>
      </c>
      <c r="C1197" s="186" t="s">
        <v>43</v>
      </c>
      <c r="D1197" s="186" t="s">
        <v>2012</v>
      </c>
      <c r="E1197" s="171" t="s">
        <v>80</v>
      </c>
      <c r="F1197" s="170">
        <v>723.73</v>
      </c>
      <c r="G1197" s="172"/>
      <c r="H1197" s="194"/>
      <c r="I1197" s="195"/>
      <c r="J1197" s="172"/>
      <c r="K1197" s="264"/>
      <c r="N1197" s="203"/>
    </row>
    <row r="1198" spans="1:14" ht="38.25">
      <c r="A1198" s="257" t="s">
        <v>2194</v>
      </c>
      <c r="B1198" s="170" t="s">
        <v>78</v>
      </c>
      <c r="C1198" s="186" t="s">
        <v>43</v>
      </c>
      <c r="D1198" s="186" t="s">
        <v>79</v>
      </c>
      <c r="E1198" s="171" t="s">
        <v>80</v>
      </c>
      <c r="F1198" s="170">
        <v>109.64</v>
      </c>
      <c r="G1198" s="172"/>
      <c r="H1198" s="194"/>
      <c r="I1198" s="195"/>
      <c r="J1198" s="172"/>
      <c r="K1198" s="264"/>
      <c r="N1198" s="203"/>
    </row>
    <row r="1199" spans="1:14" ht="38.25">
      <c r="A1199" s="257" t="s">
        <v>2195</v>
      </c>
      <c r="B1199" s="170" t="s">
        <v>88</v>
      </c>
      <c r="C1199" s="186" t="s">
        <v>43</v>
      </c>
      <c r="D1199" s="186" t="s">
        <v>89</v>
      </c>
      <c r="E1199" s="171" t="s">
        <v>80</v>
      </c>
      <c r="F1199" s="170">
        <v>118.73</v>
      </c>
      <c r="G1199" s="172"/>
      <c r="H1199" s="194"/>
      <c r="I1199" s="195"/>
      <c r="J1199" s="172"/>
      <c r="K1199" s="264"/>
      <c r="N1199" s="203"/>
    </row>
    <row r="1200" spans="1:14" ht="38.25">
      <c r="A1200" s="257" t="s">
        <v>2196</v>
      </c>
      <c r="B1200" s="170" t="s">
        <v>91</v>
      </c>
      <c r="C1200" s="186" t="s">
        <v>43</v>
      </c>
      <c r="D1200" s="186" t="s">
        <v>92</v>
      </c>
      <c r="E1200" s="171" t="s">
        <v>80</v>
      </c>
      <c r="F1200" s="170">
        <v>348.18</v>
      </c>
      <c r="G1200" s="172"/>
      <c r="H1200" s="194"/>
      <c r="I1200" s="195"/>
      <c r="J1200" s="172"/>
      <c r="K1200" s="264"/>
      <c r="N1200" s="203"/>
    </row>
    <row r="1201" spans="1:14" ht="25.5">
      <c r="A1201" s="257" t="s">
        <v>2197</v>
      </c>
      <c r="B1201" s="170" t="s">
        <v>1991</v>
      </c>
      <c r="C1201" s="186" t="s">
        <v>43</v>
      </c>
      <c r="D1201" s="186" t="s">
        <v>1992</v>
      </c>
      <c r="E1201" s="171" t="s">
        <v>80</v>
      </c>
      <c r="F1201" s="170">
        <v>279.45</v>
      </c>
      <c r="G1201" s="172"/>
      <c r="H1201" s="194"/>
      <c r="I1201" s="195"/>
      <c r="J1201" s="172"/>
      <c r="K1201" s="264"/>
      <c r="N1201" s="203"/>
    </row>
    <row r="1202" spans="1:14" ht="25.5">
      <c r="A1202" s="257" t="s">
        <v>2198</v>
      </c>
      <c r="B1202" s="170" t="s">
        <v>2017</v>
      </c>
      <c r="C1202" s="186" t="s">
        <v>43</v>
      </c>
      <c r="D1202" s="186" t="s">
        <v>2018</v>
      </c>
      <c r="E1202" s="171" t="s">
        <v>126</v>
      </c>
      <c r="F1202" s="170">
        <v>7.9</v>
      </c>
      <c r="G1202" s="172"/>
      <c r="H1202" s="194"/>
      <c r="I1202" s="195"/>
      <c r="J1202" s="172"/>
      <c r="K1202" s="264"/>
      <c r="N1202" s="203"/>
    </row>
    <row r="1203" spans="1:14" ht="38.25">
      <c r="A1203" s="257" t="s">
        <v>2199</v>
      </c>
      <c r="B1203" s="170" t="s">
        <v>1985</v>
      </c>
      <c r="C1203" s="186" t="s">
        <v>43</v>
      </c>
      <c r="D1203" s="186" t="s">
        <v>1986</v>
      </c>
      <c r="E1203" s="171" t="s">
        <v>45</v>
      </c>
      <c r="F1203" s="170">
        <v>297.10000000000002</v>
      </c>
      <c r="G1203" s="172"/>
      <c r="H1203" s="194"/>
      <c r="I1203" s="195"/>
      <c r="J1203" s="172"/>
      <c r="K1203" s="264"/>
      <c r="N1203" s="203"/>
    </row>
    <row r="1204" spans="1:14" ht="25.5">
      <c r="A1204" s="257" t="s">
        <v>2200</v>
      </c>
      <c r="B1204" s="170" t="s">
        <v>2000</v>
      </c>
      <c r="C1204" s="186" t="s">
        <v>43</v>
      </c>
      <c r="D1204" s="186" t="s">
        <v>2001</v>
      </c>
      <c r="E1204" s="171" t="s">
        <v>80</v>
      </c>
      <c r="F1204" s="170">
        <v>168.37</v>
      </c>
      <c r="G1204" s="172"/>
      <c r="H1204" s="194"/>
      <c r="I1204" s="195"/>
      <c r="J1204" s="172"/>
      <c r="K1204" s="264"/>
      <c r="N1204" s="203"/>
    </row>
    <row r="1205" spans="1:14" ht="25.5">
      <c r="A1205" s="257" t="s">
        <v>2201</v>
      </c>
      <c r="B1205" s="170" t="s">
        <v>2003</v>
      </c>
      <c r="C1205" s="186" t="s">
        <v>43</v>
      </c>
      <c r="D1205" s="186" t="s">
        <v>2004</v>
      </c>
      <c r="E1205" s="171" t="s">
        <v>80</v>
      </c>
      <c r="F1205" s="170">
        <v>220.73</v>
      </c>
      <c r="G1205" s="172"/>
      <c r="H1205" s="194"/>
      <c r="I1205" s="195"/>
      <c r="J1205" s="172"/>
      <c r="K1205" s="264"/>
      <c r="N1205" s="203"/>
    </row>
    <row r="1206" spans="1:14" ht="51">
      <c r="A1206" s="257" t="s">
        <v>2202</v>
      </c>
      <c r="B1206" s="170" t="s">
        <v>1988</v>
      </c>
      <c r="C1206" s="186" t="s">
        <v>43</v>
      </c>
      <c r="D1206" s="186" t="s">
        <v>1989</v>
      </c>
      <c r="E1206" s="171" t="s">
        <v>45</v>
      </c>
      <c r="F1206" s="170">
        <v>73.400000000000006</v>
      </c>
      <c r="G1206" s="172"/>
      <c r="H1206" s="194"/>
      <c r="I1206" s="195"/>
      <c r="J1206" s="172"/>
      <c r="K1206" s="264"/>
      <c r="N1206" s="203"/>
    </row>
    <row r="1207" spans="1:14" ht="38.25">
      <c r="A1207" s="257" t="s">
        <v>2203</v>
      </c>
      <c r="B1207" s="170" t="s">
        <v>124</v>
      </c>
      <c r="C1207" s="186" t="s">
        <v>34</v>
      </c>
      <c r="D1207" s="186" t="s">
        <v>125</v>
      </c>
      <c r="E1207" s="171" t="s">
        <v>126</v>
      </c>
      <c r="F1207" s="170">
        <v>5</v>
      </c>
      <c r="G1207" s="172"/>
      <c r="H1207" s="194"/>
      <c r="I1207" s="195"/>
      <c r="J1207" s="172"/>
      <c r="K1207" s="264"/>
      <c r="N1207" s="202"/>
    </row>
    <row r="1208" spans="1:14" ht="38.25">
      <c r="A1208" s="257" t="s">
        <v>2204</v>
      </c>
      <c r="B1208" s="170" t="s">
        <v>1979</v>
      </c>
      <c r="C1208" s="186" t="s">
        <v>43</v>
      </c>
      <c r="D1208" s="186" t="s">
        <v>1980</v>
      </c>
      <c r="E1208" s="171" t="s">
        <v>126</v>
      </c>
      <c r="F1208" s="170">
        <v>22.7</v>
      </c>
      <c r="G1208" s="172"/>
      <c r="H1208" s="194"/>
      <c r="I1208" s="195"/>
      <c r="J1208" s="172"/>
      <c r="K1208" s="264"/>
      <c r="N1208" s="203"/>
    </row>
    <row r="1209" spans="1:14">
      <c r="A1209" s="259" t="s">
        <v>2205</v>
      </c>
      <c r="B1209" s="187"/>
      <c r="C1209" s="187"/>
      <c r="D1209" s="187" t="s">
        <v>2022</v>
      </c>
      <c r="E1209" s="187"/>
      <c r="F1209" s="169"/>
      <c r="G1209" s="187"/>
      <c r="H1209" s="193"/>
      <c r="I1209" s="187"/>
      <c r="J1209" s="192"/>
      <c r="K1209" s="263"/>
      <c r="N1209" s="203"/>
    </row>
    <row r="1210" spans="1:14" ht="25.5">
      <c r="A1210" s="257" t="s">
        <v>2206</v>
      </c>
      <c r="B1210" s="170" t="s">
        <v>2030</v>
      </c>
      <c r="C1210" s="186" t="s">
        <v>43</v>
      </c>
      <c r="D1210" s="186" t="s">
        <v>2031</v>
      </c>
      <c r="E1210" s="171" t="s">
        <v>36</v>
      </c>
      <c r="F1210" s="170">
        <v>11</v>
      </c>
      <c r="G1210" s="172"/>
      <c r="H1210" s="194"/>
      <c r="I1210" s="195"/>
      <c r="J1210" s="172"/>
      <c r="K1210" s="264"/>
      <c r="N1210" s="203"/>
    </row>
    <row r="1211" spans="1:14" ht="25.5">
      <c r="A1211" s="257" t="s">
        <v>2207</v>
      </c>
      <c r="B1211" s="170" t="s">
        <v>2033</v>
      </c>
      <c r="C1211" s="186" t="s">
        <v>34</v>
      </c>
      <c r="D1211" s="186" t="s">
        <v>2034</v>
      </c>
      <c r="E1211" s="171" t="s">
        <v>36</v>
      </c>
      <c r="F1211" s="170">
        <v>14</v>
      </c>
      <c r="G1211" s="172"/>
      <c r="H1211" s="194"/>
      <c r="I1211" s="195"/>
      <c r="J1211" s="172"/>
      <c r="K1211" s="264"/>
      <c r="N1211" s="203"/>
    </row>
    <row r="1212" spans="1:14" ht="25.5">
      <c r="A1212" s="257" t="s">
        <v>2208</v>
      </c>
      <c r="B1212" s="170" t="s">
        <v>2027</v>
      </c>
      <c r="C1212" s="186" t="s">
        <v>43</v>
      </c>
      <c r="D1212" s="186" t="s">
        <v>2028</v>
      </c>
      <c r="E1212" s="171" t="s">
        <v>36</v>
      </c>
      <c r="F1212" s="170">
        <v>4</v>
      </c>
      <c r="G1212" s="172"/>
      <c r="H1212" s="194"/>
      <c r="I1212" s="195"/>
      <c r="J1212" s="172"/>
      <c r="K1212" s="264"/>
      <c r="N1212" s="203"/>
    </row>
    <row r="1213" spans="1:14" ht="51">
      <c r="A1213" s="257" t="s">
        <v>2209</v>
      </c>
      <c r="B1213" s="170" t="s">
        <v>2036</v>
      </c>
      <c r="C1213" s="186" t="s">
        <v>34</v>
      </c>
      <c r="D1213" s="186" t="s">
        <v>2037</v>
      </c>
      <c r="E1213" s="171" t="s">
        <v>36</v>
      </c>
      <c r="F1213" s="170">
        <v>4</v>
      </c>
      <c r="G1213" s="172"/>
      <c r="H1213" s="194"/>
      <c r="I1213" s="195"/>
      <c r="J1213" s="172"/>
      <c r="K1213" s="264"/>
      <c r="N1213" s="203"/>
    </row>
    <row r="1214" spans="1:14">
      <c r="A1214" s="257" t="s">
        <v>2210</v>
      </c>
      <c r="B1214" s="170" t="s">
        <v>2039</v>
      </c>
      <c r="C1214" s="186" t="s">
        <v>34</v>
      </c>
      <c r="D1214" s="186" t="s">
        <v>2040</v>
      </c>
      <c r="E1214" s="171" t="s">
        <v>144</v>
      </c>
      <c r="F1214" s="170">
        <v>59.6</v>
      </c>
      <c r="G1214" s="172"/>
      <c r="H1214" s="194"/>
      <c r="I1214" s="195"/>
      <c r="J1214" s="172"/>
      <c r="K1214" s="264"/>
      <c r="N1214" s="203"/>
    </row>
    <row r="1215" spans="1:14" ht="38.25">
      <c r="A1215" s="257" t="s">
        <v>2211</v>
      </c>
      <c r="B1215" s="170" t="s">
        <v>2042</v>
      </c>
      <c r="C1215" s="186" t="s">
        <v>43</v>
      </c>
      <c r="D1215" s="186" t="s">
        <v>2043</v>
      </c>
      <c r="E1215" s="171" t="s">
        <v>36</v>
      </c>
      <c r="F1215" s="170">
        <v>5</v>
      </c>
      <c r="G1215" s="172"/>
      <c r="H1215" s="194"/>
      <c r="I1215" s="195"/>
      <c r="J1215" s="172"/>
      <c r="K1215" s="264"/>
      <c r="N1215" s="203"/>
    </row>
    <row r="1216" spans="1:14" ht="38.25">
      <c r="A1216" s="257" t="s">
        <v>2212</v>
      </c>
      <c r="B1216" s="170" t="s">
        <v>2045</v>
      </c>
      <c r="C1216" s="186" t="s">
        <v>43</v>
      </c>
      <c r="D1216" s="186" t="s">
        <v>2046</v>
      </c>
      <c r="E1216" s="171" t="s">
        <v>144</v>
      </c>
      <c r="F1216" s="170">
        <v>59.6</v>
      </c>
      <c r="G1216" s="172"/>
      <c r="H1216" s="194"/>
      <c r="I1216" s="195"/>
      <c r="J1216" s="172"/>
      <c r="K1216" s="264"/>
      <c r="N1216" s="202"/>
    </row>
    <row r="1217" spans="1:14" ht="25.5">
      <c r="A1217" s="257" t="s">
        <v>2213</v>
      </c>
      <c r="B1217" s="170" t="s">
        <v>2048</v>
      </c>
      <c r="C1217" s="186" t="s">
        <v>43</v>
      </c>
      <c r="D1217" s="186" t="s">
        <v>2049</v>
      </c>
      <c r="E1217" s="171" t="s">
        <v>36</v>
      </c>
      <c r="F1217" s="170">
        <v>4</v>
      </c>
      <c r="G1217" s="172"/>
      <c r="H1217" s="194"/>
      <c r="I1217" s="195"/>
      <c r="J1217" s="172"/>
      <c r="K1217" s="264"/>
      <c r="N1217" s="202"/>
    </row>
    <row r="1218" spans="1:14">
      <c r="A1218" s="259" t="s">
        <v>21</v>
      </c>
      <c r="B1218" s="187"/>
      <c r="C1218" s="187"/>
      <c r="D1218" s="187" t="s">
        <v>22</v>
      </c>
      <c r="E1218" s="187"/>
      <c r="F1218" s="169"/>
      <c r="G1218" s="187"/>
      <c r="H1218" s="193"/>
      <c r="I1218" s="187"/>
      <c r="J1218" s="192"/>
      <c r="K1218" s="263"/>
      <c r="N1218" s="203"/>
    </row>
    <row r="1219" spans="1:14">
      <c r="A1219" s="259" t="s">
        <v>2214</v>
      </c>
      <c r="B1219" s="187"/>
      <c r="C1219" s="187"/>
      <c r="D1219" s="187" t="s">
        <v>2215</v>
      </c>
      <c r="E1219" s="187"/>
      <c r="F1219" s="169"/>
      <c r="G1219" s="187"/>
      <c r="H1219" s="193"/>
      <c r="I1219" s="187"/>
      <c r="J1219" s="192"/>
      <c r="K1219" s="263"/>
      <c r="N1219" s="203"/>
    </row>
    <row r="1220" spans="1:14" ht="26.45" customHeight="1">
      <c r="A1220" s="257" t="s">
        <v>2216</v>
      </c>
      <c r="B1220" s="170" t="s">
        <v>710</v>
      </c>
      <c r="C1220" s="186" t="s">
        <v>43</v>
      </c>
      <c r="D1220" s="186" t="s">
        <v>711</v>
      </c>
      <c r="E1220" s="171" t="s">
        <v>144</v>
      </c>
      <c r="F1220" s="170">
        <v>120</v>
      </c>
      <c r="G1220" s="172"/>
      <c r="H1220" s="194"/>
      <c r="I1220" s="195"/>
      <c r="J1220" s="172"/>
      <c r="K1220" s="264"/>
      <c r="N1220" s="203"/>
    </row>
    <row r="1221" spans="1:14" ht="25.5">
      <c r="A1221" s="257" t="s">
        <v>2217</v>
      </c>
      <c r="B1221" s="170" t="s">
        <v>707</v>
      </c>
      <c r="C1221" s="186" t="s">
        <v>43</v>
      </c>
      <c r="D1221" s="186" t="s">
        <v>708</v>
      </c>
      <c r="E1221" s="171" t="s">
        <v>144</v>
      </c>
      <c r="F1221" s="170">
        <v>730.8</v>
      </c>
      <c r="G1221" s="172"/>
      <c r="H1221" s="194"/>
      <c r="I1221" s="195"/>
      <c r="J1221" s="172"/>
      <c r="K1221" s="264"/>
      <c r="N1221" s="203"/>
    </row>
    <row r="1222" spans="1:14" ht="25.5">
      <c r="A1222" s="257" t="s">
        <v>2218</v>
      </c>
      <c r="B1222" s="170" t="s">
        <v>2219</v>
      </c>
      <c r="C1222" s="186" t="s">
        <v>43</v>
      </c>
      <c r="D1222" s="186" t="s">
        <v>2220</v>
      </c>
      <c r="E1222" s="171" t="s">
        <v>144</v>
      </c>
      <c r="F1222" s="170">
        <v>381</v>
      </c>
      <c r="G1222" s="172"/>
      <c r="H1222" s="194"/>
      <c r="I1222" s="195"/>
      <c r="J1222" s="172"/>
      <c r="K1222" s="264"/>
      <c r="N1222" s="203"/>
    </row>
    <row r="1223" spans="1:14" ht="38.25">
      <c r="A1223" s="257" t="s">
        <v>2221</v>
      </c>
      <c r="B1223" s="170" t="s">
        <v>2222</v>
      </c>
      <c r="C1223" s="186" t="s">
        <v>43</v>
      </c>
      <c r="D1223" s="186" t="s">
        <v>2223</v>
      </c>
      <c r="E1223" s="171" t="s">
        <v>36</v>
      </c>
      <c r="F1223" s="170">
        <v>4</v>
      </c>
      <c r="G1223" s="172"/>
      <c r="H1223" s="194"/>
      <c r="I1223" s="195"/>
      <c r="J1223" s="172"/>
      <c r="K1223" s="264"/>
      <c r="N1223" s="203"/>
    </row>
    <row r="1224" spans="1:14" ht="38.25">
      <c r="A1224" s="257" t="s">
        <v>2224</v>
      </c>
      <c r="B1224" s="170" t="s">
        <v>2225</v>
      </c>
      <c r="C1224" s="186" t="s">
        <v>43</v>
      </c>
      <c r="D1224" s="186" t="s">
        <v>2226</v>
      </c>
      <c r="E1224" s="171" t="s">
        <v>36</v>
      </c>
      <c r="F1224" s="170">
        <v>4</v>
      </c>
      <c r="G1224" s="172"/>
      <c r="H1224" s="194"/>
      <c r="I1224" s="195"/>
      <c r="J1224" s="172"/>
      <c r="K1224" s="264"/>
      <c r="N1224" s="203"/>
    </row>
    <row r="1225" spans="1:14" ht="38.25">
      <c r="A1225" s="257" t="s">
        <v>2227</v>
      </c>
      <c r="B1225" s="170" t="s">
        <v>2228</v>
      </c>
      <c r="C1225" s="186" t="s">
        <v>43</v>
      </c>
      <c r="D1225" s="186" t="s">
        <v>2229</v>
      </c>
      <c r="E1225" s="171" t="s">
        <v>36</v>
      </c>
      <c r="F1225" s="170">
        <v>9</v>
      </c>
      <c r="G1225" s="172"/>
      <c r="H1225" s="194"/>
      <c r="I1225" s="195"/>
      <c r="J1225" s="172"/>
      <c r="K1225" s="264"/>
      <c r="N1225" s="203"/>
    </row>
    <row r="1226" spans="1:14" ht="38.25">
      <c r="A1226" s="257" t="s">
        <v>2230</v>
      </c>
      <c r="B1226" s="170" t="s">
        <v>2231</v>
      </c>
      <c r="C1226" s="186" t="s">
        <v>43</v>
      </c>
      <c r="D1226" s="186" t="s">
        <v>2232</v>
      </c>
      <c r="E1226" s="171" t="s">
        <v>36</v>
      </c>
      <c r="F1226" s="170">
        <v>29</v>
      </c>
      <c r="G1226" s="172"/>
      <c r="H1226" s="194"/>
      <c r="I1226" s="195"/>
      <c r="J1226" s="172"/>
      <c r="K1226" s="264"/>
      <c r="N1226" s="203"/>
    </row>
    <row r="1227" spans="1:14" ht="38.25">
      <c r="A1227" s="257" t="s">
        <v>2233</v>
      </c>
      <c r="B1227" s="170" t="s">
        <v>2234</v>
      </c>
      <c r="C1227" s="186" t="s">
        <v>43</v>
      </c>
      <c r="D1227" s="186" t="s">
        <v>2235</v>
      </c>
      <c r="E1227" s="171" t="s">
        <v>36</v>
      </c>
      <c r="F1227" s="170">
        <v>17</v>
      </c>
      <c r="G1227" s="172"/>
      <c r="H1227" s="194"/>
      <c r="I1227" s="195"/>
      <c r="J1227" s="172"/>
      <c r="K1227" s="264"/>
      <c r="N1227" s="203"/>
    </row>
    <row r="1228" spans="1:14" ht="38.25">
      <c r="A1228" s="257" t="s">
        <v>2236</v>
      </c>
      <c r="B1228" s="170" t="s">
        <v>2237</v>
      </c>
      <c r="C1228" s="186" t="s">
        <v>43</v>
      </c>
      <c r="D1228" s="186" t="s">
        <v>2238</v>
      </c>
      <c r="E1228" s="171" t="s">
        <v>36</v>
      </c>
      <c r="F1228" s="170">
        <v>1</v>
      </c>
      <c r="G1228" s="172"/>
      <c r="H1228" s="194"/>
      <c r="I1228" s="195"/>
      <c r="J1228" s="172"/>
      <c r="K1228" s="264"/>
      <c r="N1228" s="203"/>
    </row>
    <row r="1229" spans="1:14" ht="38.25">
      <c r="A1229" s="257" t="s">
        <v>2239</v>
      </c>
      <c r="B1229" s="170" t="s">
        <v>1364</v>
      </c>
      <c r="C1229" s="186" t="s">
        <v>43</v>
      </c>
      <c r="D1229" s="186" t="s">
        <v>1365</v>
      </c>
      <c r="E1229" s="171" t="s">
        <v>36</v>
      </c>
      <c r="F1229" s="170">
        <v>5</v>
      </c>
      <c r="G1229" s="172"/>
      <c r="H1229" s="194"/>
      <c r="I1229" s="195"/>
      <c r="J1229" s="172"/>
      <c r="K1229" s="264"/>
      <c r="N1229" s="203"/>
    </row>
    <row r="1230" spans="1:14" ht="38.25">
      <c r="A1230" s="257" t="s">
        <v>2240</v>
      </c>
      <c r="B1230" s="170" t="s">
        <v>2241</v>
      </c>
      <c r="C1230" s="186" t="s">
        <v>43</v>
      </c>
      <c r="D1230" s="186" t="s">
        <v>2242</v>
      </c>
      <c r="E1230" s="171" t="s">
        <v>36</v>
      </c>
      <c r="F1230" s="170">
        <v>1</v>
      </c>
      <c r="G1230" s="172"/>
      <c r="H1230" s="194"/>
      <c r="I1230" s="195"/>
      <c r="J1230" s="172"/>
      <c r="K1230" s="264"/>
      <c r="N1230" s="203"/>
    </row>
    <row r="1231" spans="1:14" ht="38.25">
      <c r="A1231" s="257" t="s">
        <v>2243</v>
      </c>
      <c r="B1231" s="170" t="s">
        <v>2244</v>
      </c>
      <c r="C1231" s="186" t="s">
        <v>43</v>
      </c>
      <c r="D1231" s="186" t="s">
        <v>2245</v>
      </c>
      <c r="E1231" s="171" t="s">
        <v>36</v>
      </c>
      <c r="F1231" s="170">
        <v>1</v>
      </c>
      <c r="G1231" s="172"/>
      <c r="H1231" s="194"/>
      <c r="I1231" s="195"/>
      <c r="J1231" s="172"/>
      <c r="K1231" s="264"/>
      <c r="N1231" s="203"/>
    </row>
    <row r="1232" spans="1:14" ht="38.25">
      <c r="A1232" s="257" t="s">
        <v>2246</v>
      </c>
      <c r="B1232" s="170" t="s">
        <v>2247</v>
      </c>
      <c r="C1232" s="186" t="s">
        <v>43</v>
      </c>
      <c r="D1232" s="186" t="s">
        <v>2248</v>
      </c>
      <c r="E1232" s="171" t="s">
        <v>36</v>
      </c>
      <c r="F1232" s="170">
        <v>12</v>
      </c>
      <c r="G1232" s="172"/>
      <c r="H1232" s="194"/>
      <c r="I1232" s="195"/>
      <c r="J1232" s="172"/>
      <c r="K1232" s="264"/>
      <c r="N1232" s="203"/>
    </row>
    <row r="1233" spans="1:14" ht="38.25">
      <c r="A1233" s="257" t="s">
        <v>2249</v>
      </c>
      <c r="B1233" s="170" t="s">
        <v>2250</v>
      </c>
      <c r="C1233" s="186" t="s">
        <v>43</v>
      </c>
      <c r="D1233" s="186" t="s">
        <v>2251</v>
      </c>
      <c r="E1233" s="171" t="s">
        <v>36</v>
      </c>
      <c r="F1233" s="170">
        <v>35</v>
      </c>
      <c r="G1233" s="172"/>
      <c r="H1233" s="194"/>
      <c r="I1233" s="195"/>
      <c r="J1233" s="172"/>
      <c r="K1233" s="264"/>
      <c r="N1233" s="203"/>
    </row>
    <row r="1234" spans="1:14" ht="25.5">
      <c r="A1234" s="257" t="s">
        <v>2252</v>
      </c>
      <c r="B1234" s="170" t="s">
        <v>725</v>
      </c>
      <c r="C1234" s="186" t="s">
        <v>43</v>
      </c>
      <c r="D1234" s="186" t="s">
        <v>726</v>
      </c>
      <c r="E1234" s="171" t="s">
        <v>36</v>
      </c>
      <c r="F1234" s="170">
        <v>4</v>
      </c>
      <c r="G1234" s="172"/>
      <c r="H1234" s="194"/>
      <c r="I1234" s="195"/>
      <c r="J1234" s="172"/>
      <c r="K1234" s="264"/>
      <c r="N1234" s="203"/>
    </row>
    <row r="1235" spans="1:14" ht="25.5">
      <c r="A1235" s="257" t="s">
        <v>2253</v>
      </c>
      <c r="B1235" s="170" t="s">
        <v>2254</v>
      </c>
      <c r="C1235" s="186" t="s">
        <v>43</v>
      </c>
      <c r="D1235" s="186" t="s">
        <v>2255</v>
      </c>
      <c r="E1235" s="171" t="s">
        <v>36</v>
      </c>
      <c r="F1235" s="170">
        <v>4</v>
      </c>
      <c r="G1235" s="172"/>
      <c r="H1235" s="194"/>
      <c r="I1235" s="195"/>
      <c r="J1235" s="172"/>
      <c r="K1235" s="264"/>
      <c r="N1235" s="203"/>
    </row>
    <row r="1236" spans="1:14" ht="25.5">
      <c r="A1236" s="257" t="s">
        <v>2256</v>
      </c>
      <c r="B1236" s="170" t="s">
        <v>2257</v>
      </c>
      <c r="C1236" s="186" t="s">
        <v>43</v>
      </c>
      <c r="D1236" s="186" t="s">
        <v>2258</v>
      </c>
      <c r="E1236" s="171" t="s">
        <v>36</v>
      </c>
      <c r="F1236" s="170">
        <v>5</v>
      </c>
      <c r="G1236" s="172"/>
      <c r="H1236" s="194"/>
      <c r="I1236" s="195"/>
      <c r="J1236" s="172"/>
      <c r="K1236" s="264"/>
      <c r="N1236" s="203"/>
    </row>
    <row r="1237" spans="1:14" ht="25.5">
      <c r="A1237" s="257" t="s">
        <v>2259</v>
      </c>
      <c r="B1237" s="170" t="s">
        <v>2260</v>
      </c>
      <c r="C1237" s="186" t="s">
        <v>43</v>
      </c>
      <c r="D1237" s="186" t="s">
        <v>2261</v>
      </c>
      <c r="E1237" s="171" t="s">
        <v>36</v>
      </c>
      <c r="F1237" s="170">
        <v>62</v>
      </c>
      <c r="G1237" s="172"/>
      <c r="H1237" s="194"/>
      <c r="I1237" s="195"/>
      <c r="J1237" s="172"/>
      <c r="K1237" s="264"/>
      <c r="N1237" s="203"/>
    </row>
    <row r="1238" spans="1:14" ht="25.5">
      <c r="A1238" s="257" t="s">
        <v>2262</v>
      </c>
      <c r="B1238" s="170" t="s">
        <v>2263</v>
      </c>
      <c r="C1238" s="186" t="s">
        <v>43</v>
      </c>
      <c r="D1238" s="186" t="s">
        <v>2264</v>
      </c>
      <c r="E1238" s="171" t="s">
        <v>36</v>
      </c>
      <c r="F1238" s="170">
        <v>47</v>
      </c>
      <c r="G1238" s="172"/>
      <c r="H1238" s="194"/>
      <c r="I1238" s="195"/>
      <c r="J1238" s="172"/>
      <c r="K1238" s="264"/>
      <c r="N1238" s="203"/>
    </row>
    <row r="1239" spans="1:14" ht="38.25">
      <c r="A1239" s="257" t="s">
        <v>2265</v>
      </c>
      <c r="B1239" s="170" t="s">
        <v>2266</v>
      </c>
      <c r="C1239" s="186" t="s">
        <v>43</v>
      </c>
      <c r="D1239" s="186" t="s">
        <v>2267</v>
      </c>
      <c r="E1239" s="171" t="s">
        <v>36</v>
      </c>
      <c r="F1239" s="170">
        <v>27</v>
      </c>
      <c r="G1239" s="172"/>
      <c r="H1239" s="194"/>
      <c r="I1239" s="195"/>
      <c r="J1239" s="172"/>
      <c r="K1239" s="264"/>
      <c r="N1239" s="203"/>
    </row>
    <row r="1240" spans="1:14" ht="38.25">
      <c r="A1240" s="257" t="s">
        <v>2268</v>
      </c>
      <c r="B1240" s="170" t="s">
        <v>2269</v>
      </c>
      <c r="C1240" s="186" t="s">
        <v>43</v>
      </c>
      <c r="D1240" s="186" t="s">
        <v>2270</v>
      </c>
      <c r="E1240" s="171" t="s">
        <v>36</v>
      </c>
      <c r="F1240" s="170">
        <v>1</v>
      </c>
      <c r="G1240" s="172"/>
      <c r="H1240" s="194"/>
      <c r="I1240" s="195"/>
      <c r="J1240" s="172"/>
      <c r="K1240" s="264"/>
      <c r="N1240" s="203"/>
    </row>
    <row r="1241" spans="1:14" ht="38.25">
      <c r="A1241" s="257" t="s">
        <v>2271</v>
      </c>
      <c r="B1241" s="170" t="s">
        <v>2272</v>
      </c>
      <c r="C1241" s="186" t="s">
        <v>43</v>
      </c>
      <c r="D1241" s="186" t="s">
        <v>2273</v>
      </c>
      <c r="E1241" s="171" t="s">
        <v>36</v>
      </c>
      <c r="F1241" s="170">
        <v>10</v>
      </c>
      <c r="G1241" s="172"/>
      <c r="H1241" s="194"/>
      <c r="I1241" s="195"/>
      <c r="J1241" s="172"/>
      <c r="K1241" s="264"/>
      <c r="N1241" s="203"/>
    </row>
    <row r="1242" spans="1:14" ht="26.45" customHeight="1">
      <c r="A1242" s="257" t="s">
        <v>2274</v>
      </c>
      <c r="B1242" s="170" t="s">
        <v>2275</v>
      </c>
      <c r="C1242" s="186" t="s">
        <v>43</v>
      </c>
      <c r="D1242" s="186" t="s">
        <v>2276</v>
      </c>
      <c r="E1242" s="171" t="s">
        <v>36</v>
      </c>
      <c r="F1242" s="170">
        <v>12</v>
      </c>
      <c r="G1242" s="172"/>
      <c r="H1242" s="194"/>
      <c r="I1242" s="195"/>
      <c r="J1242" s="172"/>
      <c r="K1242" s="264"/>
      <c r="N1242" s="203"/>
    </row>
    <row r="1243" spans="1:14" ht="25.5">
      <c r="A1243" s="257" t="s">
        <v>2277</v>
      </c>
      <c r="B1243" s="170" t="s">
        <v>2278</v>
      </c>
      <c r="C1243" s="186" t="s">
        <v>43</v>
      </c>
      <c r="D1243" s="186" t="s">
        <v>2279</v>
      </c>
      <c r="E1243" s="171" t="s">
        <v>36</v>
      </c>
      <c r="F1243" s="170">
        <v>2</v>
      </c>
      <c r="G1243" s="172"/>
      <c r="H1243" s="194"/>
      <c r="I1243" s="195"/>
      <c r="J1243" s="172"/>
      <c r="K1243" s="264"/>
      <c r="N1243" s="203"/>
    </row>
    <row r="1244" spans="1:14" ht="25.5">
      <c r="A1244" s="257" t="s">
        <v>2280</v>
      </c>
      <c r="B1244" s="170" t="s">
        <v>2281</v>
      </c>
      <c r="C1244" s="186" t="s">
        <v>43</v>
      </c>
      <c r="D1244" s="186" t="s">
        <v>2282</v>
      </c>
      <c r="E1244" s="171" t="s">
        <v>36</v>
      </c>
      <c r="F1244" s="170">
        <v>2</v>
      </c>
      <c r="G1244" s="172"/>
      <c r="H1244" s="194"/>
      <c r="I1244" s="195"/>
      <c r="J1244" s="172"/>
      <c r="K1244" s="264"/>
      <c r="N1244" s="203"/>
    </row>
    <row r="1245" spans="1:14" ht="25.5">
      <c r="A1245" s="257" t="s">
        <v>2283</v>
      </c>
      <c r="B1245" s="170" t="s">
        <v>1524</v>
      </c>
      <c r="C1245" s="186" t="s">
        <v>43</v>
      </c>
      <c r="D1245" s="186" t="s">
        <v>1525</v>
      </c>
      <c r="E1245" s="171" t="s">
        <v>36</v>
      </c>
      <c r="F1245" s="170">
        <v>3</v>
      </c>
      <c r="G1245" s="172"/>
      <c r="H1245" s="194"/>
      <c r="I1245" s="195"/>
      <c r="J1245" s="172"/>
      <c r="K1245" s="264"/>
      <c r="N1245" s="203"/>
    </row>
    <row r="1246" spans="1:14" ht="25.5">
      <c r="A1246" s="257" t="s">
        <v>2284</v>
      </c>
      <c r="B1246" s="170" t="s">
        <v>749</v>
      </c>
      <c r="C1246" s="186" t="s">
        <v>43</v>
      </c>
      <c r="D1246" s="186" t="s">
        <v>750</v>
      </c>
      <c r="E1246" s="171" t="s">
        <v>36</v>
      </c>
      <c r="F1246" s="170">
        <v>3</v>
      </c>
      <c r="G1246" s="172"/>
      <c r="H1246" s="194"/>
      <c r="I1246" s="195"/>
      <c r="J1246" s="172"/>
      <c r="K1246" s="264"/>
      <c r="N1246" s="203"/>
    </row>
    <row r="1247" spans="1:14" ht="25.5">
      <c r="A1247" s="257" t="s">
        <v>2285</v>
      </c>
      <c r="B1247" s="170" t="s">
        <v>2286</v>
      </c>
      <c r="C1247" s="186" t="s">
        <v>43</v>
      </c>
      <c r="D1247" s="186" t="s">
        <v>2287</v>
      </c>
      <c r="E1247" s="171" t="s">
        <v>36</v>
      </c>
      <c r="F1247" s="170">
        <v>4</v>
      </c>
      <c r="G1247" s="172"/>
      <c r="H1247" s="194"/>
      <c r="I1247" s="195"/>
      <c r="J1247" s="172"/>
      <c r="K1247" s="264"/>
      <c r="N1247" s="203"/>
    </row>
    <row r="1248" spans="1:14" ht="38.25">
      <c r="A1248" s="257" t="s">
        <v>2288</v>
      </c>
      <c r="B1248" s="170" t="s">
        <v>2289</v>
      </c>
      <c r="C1248" s="186" t="s">
        <v>43</v>
      </c>
      <c r="D1248" s="186" t="s">
        <v>2290</v>
      </c>
      <c r="E1248" s="171" t="s">
        <v>36</v>
      </c>
      <c r="F1248" s="170">
        <v>8</v>
      </c>
      <c r="G1248" s="172"/>
      <c r="H1248" s="194"/>
      <c r="I1248" s="195"/>
      <c r="J1248" s="172"/>
      <c r="K1248" s="264"/>
      <c r="N1248" s="203"/>
    </row>
    <row r="1249" spans="1:14" ht="38.25">
      <c r="A1249" s="257" t="s">
        <v>2291</v>
      </c>
      <c r="B1249" s="170" t="s">
        <v>2292</v>
      </c>
      <c r="C1249" s="186" t="s">
        <v>43</v>
      </c>
      <c r="D1249" s="186" t="s">
        <v>2293</v>
      </c>
      <c r="E1249" s="171" t="s">
        <v>36</v>
      </c>
      <c r="F1249" s="170">
        <v>6</v>
      </c>
      <c r="G1249" s="172"/>
      <c r="H1249" s="194"/>
      <c r="I1249" s="195"/>
      <c r="J1249" s="172"/>
      <c r="K1249" s="264"/>
      <c r="N1249" s="203"/>
    </row>
    <row r="1250" spans="1:14" ht="38.25">
      <c r="A1250" s="257" t="s">
        <v>2294</v>
      </c>
      <c r="B1250" s="170" t="s">
        <v>2295</v>
      </c>
      <c r="C1250" s="186" t="s">
        <v>43</v>
      </c>
      <c r="D1250" s="186" t="s">
        <v>2296</v>
      </c>
      <c r="E1250" s="171" t="s">
        <v>36</v>
      </c>
      <c r="F1250" s="170">
        <v>1</v>
      </c>
      <c r="G1250" s="172"/>
      <c r="H1250" s="194"/>
      <c r="I1250" s="195"/>
      <c r="J1250" s="172"/>
      <c r="K1250" s="264"/>
      <c r="N1250" s="203"/>
    </row>
    <row r="1251" spans="1:14" ht="25.5">
      <c r="A1251" s="257" t="s">
        <v>2297</v>
      </c>
      <c r="B1251" s="170" t="s">
        <v>2298</v>
      </c>
      <c r="C1251" s="186" t="s">
        <v>43</v>
      </c>
      <c r="D1251" s="186" t="s">
        <v>2299</v>
      </c>
      <c r="E1251" s="171" t="s">
        <v>36</v>
      </c>
      <c r="F1251" s="170">
        <v>1</v>
      </c>
      <c r="G1251" s="172"/>
      <c r="H1251" s="194"/>
      <c r="I1251" s="195"/>
      <c r="J1251" s="172"/>
      <c r="K1251" s="264"/>
      <c r="N1251" s="203"/>
    </row>
    <row r="1252" spans="1:14" ht="25.5">
      <c r="A1252" s="257" t="s">
        <v>2300</v>
      </c>
      <c r="B1252" s="170" t="s">
        <v>2301</v>
      </c>
      <c r="C1252" s="186" t="s">
        <v>43</v>
      </c>
      <c r="D1252" s="186" t="s">
        <v>2302</v>
      </c>
      <c r="E1252" s="171" t="s">
        <v>36</v>
      </c>
      <c r="F1252" s="170">
        <v>7</v>
      </c>
      <c r="G1252" s="172"/>
      <c r="H1252" s="194"/>
      <c r="I1252" s="195"/>
      <c r="J1252" s="172"/>
      <c r="K1252" s="264"/>
      <c r="N1252" s="203"/>
    </row>
    <row r="1253" spans="1:14" ht="25.5">
      <c r="A1253" s="257" t="s">
        <v>2303</v>
      </c>
      <c r="B1253" s="170" t="s">
        <v>1487</v>
      </c>
      <c r="C1253" s="186" t="s">
        <v>43</v>
      </c>
      <c r="D1253" s="186" t="s">
        <v>1488</v>
      </c>
      <c r="E1253" s="171" t="s">
        <v>144</v>
      </c>
      <c r="F1253" s="170">
        <v>7</v>
      </c>
      <c r="G1253" s="172"/>
      <c r="H1253" s="194"/>
      <c r="I1253" s="195"/>
      <c r="J1253" s="172"/>
      <c r="K1253" s="264"/>
      <c r="N1253" s="202"/>
    </row>
    <row r="1254" spans="1:14">
      <c r="A1254" s="257" t="s">
        <v>2304</v>
      </c>
      <c r="B1254" s="170" t="s">
        <v>2305</v>
      </c>
      <c r="C1254" s="186" t="s">
        <v>34</v>
      </c>
      <c r="D1254" s="186" t="s">
        <v>2306</v>
      </c>
      <c r="E1254" s="171" t="s">
        <v>36</v>
      </c>
      <c r="F1254" s="170">
        <v>1</v>
      </c>
      <c r="G1254" s="172"/>
      <c r="H1254" s="194"/>
      <c r="I1254" s="195"/>
      <c r="J1254" s="172"/>
      <c r="K1254" s="264"/>
      <c r="N1254" s="203"/>
    </row>
    <row r="1255" spans="1:14">
      <c r="A1255" s="259" t="s">
        <v>2307</v>
      </c>
      <c r="B1255" s="187"/>
      <c r="C1255" s="187"/>
      <c r="D1255" s="187" t="s">
        <v>2308</v>
      </c>
      <c r="E1255" s="187"/>
      <c r="F1255" s="169"/>
      <c r="G1255" s="187"/>
      <c r="H1255" s="193"/>
      <c r="I1255" s="187"/>
      <c r="J1255" s="192"/>
      <c r="K1255" s="263"/>
      <c r="N1255" s="203"/>
    </row>
    <row r="1256" spans="1:14" ht="38.25">
      <c r="A1256" s="257" t="s">
        <v>2309</v>
      </c>
      <c r="B1256" s="170" t="s">
        <v>2310</v>
      </c>
      <c r="C1256" s="186" t="s">
        <v>43</v>
      </c>
      <c r="D1256" s="186" t="s">
        <v>2311</v>
      </c>
      <c r="E1256" s="171" t="s">
        <v>144</v>
      </c>
      <c r="F1256" s="170">
        <v>162.85</v>
      </c>
      <c r="G1256" s="172"/>
      <c r="H1256" s="194"/>
      <c r="I1256" s="195"/>
      <c r="J1256" s="172"/>
      <c r="K1256" s="264"/>
      <c r="N1256" s="203"/>
    </row>
    <row r="1257" spans="1:14" ht="38.25">
      <c r="A1257" s="257" t="s">
        <v>2312</v>
      </c>
      <c r="B1257" s="170" t="s">
        <v>2313</v>
      </c>
      <c r="C1257" s="186" t="s">
        <v>43</v>
      </c>
      <c r="D1257" s="186" t="s">
        <v>2314</v>
      </c>
      <c r="E1257" s="171" t="s">
        <v>144</v>
      </c>
      <c r="F1257" s="170">
        <v>287.33</v>
      </c>
      <c r="G1257" s="172"/>
      <c r="H1257" s="194"/>
      <c r="I1257" s="195"/>
      <c r="J1257" s="172"/>
      <c r="K1257" s="264"/>
      <c r="N1257" s="203"/>
    </row>
    <row r="1258" spans="1:14" ht="38.25">
      <c r="A1258" s="257" t="s">
        <v>2315</v>
      </c>
      <c r="B1258" s="170" t="s">
        <v>2316</v>
      </c>
      <c r="C1258" s="186" t="s">
        <v>43</v>
      </c>
      <c r="D1258" s="186" t="s">
        <v>2317</v>
      </c>
      <c r="E1258" s="171" t="s">
        <v>144</v>
      </c>
      <c r="F1258" s="170">
        <v>6.8</v>
      </c>
      <c r="G1258" s="172"/>
      <c r="H1258" s="194"/>
      <c r="I1258" s="195"/>
      <c r="J1258" s="172"/>
      <c r="K1258" s="264"/>
      <c r="N1258" s="203"/>
    </row>
    <row r="1259" spans="1:14" ht="25.5">
      <c r="A1259" s="257" t="s">
        <v>2318</v>
      </c>
      <c r="B1259" s="170" t="s">
        <v>837</v>
      </c>
      <c r="C1259" s="186" t="s">
        <v>43</v>
      </c>
      <c r="D1259" s="186" t="s">
        <v>838</v>
      </c>
      <c r="E1259" s="171" t="s">
        <v>144</v>
      </c>
      <c r="F1259" s="170">
        <v>9.69</v>
      </c>
      <c r="G1259" s="172"/>
      <c r="H1259" s="194"/>
      <c r="I1259" s="195"/>
      <c r="J1259" s="172"/>
      <c r="K1259" s="264"/>
      <c r="N1259" s="203"/>
    </row>
    <row r="1260" spans="1:14" ht="25.5">
      <c r="A1260" s="257" t="s">
        <v>2319</v>
      </c>
      <c r="B1260" s="170" t="s">
        <v>840</v>
      </c>
      <c r="C1260" s="186" t="s">
        <v>43</v>
      </c>
      <c r="D1260" s="186" t="s">
        <v>841</v>
      </c>
      <c r="E1260" s="171" t="s">
        <v>144</v>
      </c>
      <c r="F1260" s="170">
        <v>126.14</v>
      </c>
      <c r="G1260" s="172"/>
      <c r="H1260" s="194"/>
      <c r="I1260" s="195"/>
      <c r="J1260" s="172"/>
      <c r="K1260" s="264"/>
      <c r="N1260" s="203"/>
    </row>
    <row r="1261" spans="1:14" ht="38.25">
      <c r="A1261" s="257" t="s">
        <v>2320</v>
      </c>
      <c r="B1261" s="170" t="s">
        <v>2321</v>
      </c>
      <c r="C1261" s="186" t="s">
        <v>43</v>
      </c>
      <c r="D1261" s="186" t="s">
        <v>2322</v>
      </c>
      <c r="E1261" s="171" t="s">
        <v>144</v>
      </c>
      <c r="F1261" s="170">
        <v>196.5</v>
      </c>
      <c r="G1261" s="172"/>
      <c r="H1261" s="194"/>
      <c r="I1261" s="195"/>
      <c r="J1261" s="172"/>
      <c r="K1261" s="264"/>
      <c r="N1261" s="203"/>
    </row>
    <row r="1262" spans="1:14" ht="38.25">
      <c r="A1262" s="257" t="s">
        <v>2323</v>
      </c>
      <c r="B1262" s="170" t="s">
        <v>2324</v>
      </c>
      <c r="C1262" s="186" t="s">
        <v>43</v>
      </c>
      <c r="D1262" s="186" t="s">
        <v>2325</v>
      </c>
      <c r="E1262" s="171" t="s">
        <v>144</v>
      </c>
      <c r="F1262" s="170">
        <v>75</v>
      </c>
      <c r="G1262" s="172"/>
      <c r="H1262" s="194"/>
      <c r="I1262" s="195"/>
      <c r="J1262" s="172"/>
      <c r="K1262" s="264"/>
      <c r="N1262" s="203"/>
    </row>
    <row r="1263" spans="1:14" ht="38.25">
      <c r="A1263" s="257" t="s">
        <v>2326</v>
      </c>
      <c r="B1263" s="170" t="s">
        <v>2327</v>
      </c>
      <c r="C1263" s="186" t="s">
        <v>43</v>
      </c>
      <c r="D1263" s="186" t="s">
        <v>2328</v>
      </c>
      <c r="E1263" s="171" t="s">
        <v>36</v>
      </c>
      <c r="F1263" s="170">
        <v>86</v>
      </c>
      <c r="G1263" s="172"/>
      <c r="H1263" s="194"/>
      <c r="I1263" s="195"/>
      <c r="J1263" s="172"/>
      <c r="K1263" s="264"/>
      <c r="N1263" s="203"/>
    </row>
    <row r="1264" spans="1:14" ht="38.25">
      <c r="A1264" s="257" t="s">
        <v>2329</v>
      </c>
      <c r="B1264" s="170" t="s">
        <v>814</v>
      </c>
      <c r="C1264" s="186" t="s">
        <v>43</v>
      </c>
      <c r="D1264" s="186" t="s">
        <v>815</v>
      </c>
      <c r="E1264" s="171" t="s">
        <v>36</v>
      </c>
      <c r="F1264" s="170">
        <v>2</v>
      </c>
      <c r="G1264" s="172"/>
      <c r="H1264" s="194"/>
      <c r="I1264" s="195"/>
      <c r="J1264" s="172"/>
      <c r="K1264" s="264"/>
      <c r="N1264" s="203"/>
    </row>
    <row r="1265" spans="1:14" ht="38.25">
      <c r="A1265" s="257" t="s">
        <v>2330</v>
      </c>
      <c r="B1265" s="170" t="s">
        <v>1412</v>
      </c>
      <c r="C1265" s="186" t="s">
        <v>43</v>
      </c>
      <c r="D1265" s="186" t="s">
        <v>1413</v>
      </c>
      <c r="E1265" s="171" t="s">
        <v>36</v>
      </c>
      <c r="F1265" s="170">
        <v>1</v>
      </c>
      <c r="G1265" s="172"/>
      <c r="H1265" s="194"/>
      <c r="I1265" s="195"/>
      <c r="J1265" s="172"/>
      <c r="K1265" s="264"/>
      <c r="N1265" s="203"/>
    </row>
    <row r="1266" spans="1:14" ht="38.25">
      <c r="A1266" s="257" t="s">
        <v>2331</v>
      </c>
      <c r="B1266" s="170" t="s">
        <v>2332</v>
      </c>
      <c r="C1266" s="186" t="s">
        <v>43</v>
      </c>
      <c r="D1266" s="186" t="s">
        <v>2333</v>
      </c>
      <c r="E1266" s="171" t="s">
        <v>36</v>
      </c>
      <c r="F1266" s="170">
        <v>2</v>
      </c>
      <c r="G1266" s="172"/>
      <c r="H1266" s="194"/>
      <c r="I1266" s="195"/>
      <c r="J1266" s="172"/>
      <c r="K1266" s="264"/>
      <c r="N1266" s="203"/>
    </row>
    <row r="1267" spans="1:14" ht="38.25">
      <c r="A1267" s="257" t="s">
        <v>2334</v>
      </c>
      <c r="B1267" s="170" t="s">
        <v>846</v>
      </c>
      <c r="C1267" s="186" t="s">
        <v>43</v>
      </c>
      <c r="D1267" s="186" t="s">
        <v>847</v>
      </c>
      <c r="E1267" s="171" t="s">
        <v>36</v>
      </c>
      <c r="F1267" s="170">
        <v>2</v>
      </c>
      <c r="G1267" s="172"/>
      <c r="H1267" s="194"/>
      <c r="I1267" s="195"/>
      <c r="J1267" s="172"/>
      <c r="K1267" s="264"/>
      <c r="N1267" s="203"/>
    </row>
    <row r="1268" spans="1:14" ht="38.25">
      <c r="A1268" s="257" t="s">
        <v>2335</v>
      </c>
      <c r="B1268" s="170" t="s">
        <v>1148</v>
      </c>
      <c r="C1268" s="186" t="s">
        <v>43</v>
      </c>
      <c r="D1268" s="186" t="s">
        <v>1149</v>
      </c>
      <c r="E1268" s="171" t="s">
        <v>36</v>
      </c>
      <c r="F1268" s="170">
        <v>3</v>
      </c>
      <c r="G1268" s="172"/>
      <c r="H1268" s="194"/>
      <c r="I1268" s="195"/>
      <c r="J1268" s="172"/>
      <c r="K1268" s="264"/>
      <c r="N1268" s="202"/>
    </row>
    <row r="1269" spans="1:14" ht="38.25">
      <c r="A1269" s="257" t="s">
        <v>2336</v>
      </c>
      <c r="B1269" s="170" t="s">
        <v>2337</v>
      </c>
      <c r="C1269" s="186" t="s">
        <v>43</v>
      </c>
      <c r="D1269" s="186" t="s">
        <v>2338</v>
      </c>
      <c r="E1269" s="171" t="s">
        <v>36</v>
      </c>
      <c r="F1269" s="170">
        <v>1</v>
      </c>
      <c r="G1269" s="172"/>
      <c r="H1269" s="194"/>
      <c r="I1269" s="195"/>
      <c r="J1269" s="172"/>
      <c r="K1269" s="264"/>
      <c r="N1269" s="203"/>
    </row>
    <row r="1270" spans="1:14" ht="26.45" customHeight="1">
      <c r="A1270" s="259" t="s">
        <v>2339</v>
      </c>
      <c r="B1270" s="187"/>
      <c r="C1270" s="187"/>
      <c r="D1270" s="187" t="s">
        <v>2340</v>
      </c>
      <c r="E1270" s="187"/>
      <c r="F1270" s="169"/>
      <c r="G1270" s="187"/>
      <c r="H1270" s="193"/>
      <c r="I1270" s="187"/>
      <c r="J1270" s="192"/>
      <c r="K1270" s="263"/>
      <c r="N1270" s="203"/>
    </row>
    <row r="1271" spans="1:14" ht="38.25">
      <c r="A1271" s="257" t="s">
        <v>2341</v>
      </c>
      <c r="B1271" s="170" t="s">
        <v>654</v>
      </c>
      <c r="C1271" s="186" t="s">
        <v>43</v>
      </c>
      <c r="D1271" s="186" t="s">
        <v>655</v>
      </c>
      <c r="E1271" s="171" t="s">
        <v>36</v>
      </c>
      <c r="F1271" s="170">
        <v>18</v>
      </c>
      <c r="G1271" s="172"/>
      <c r="H1271" s="194"/>
      <c r="I1271" s="195"/>
      <c r="J1271" s="172"/>
      <c r="K1271" s="264"/>
      <c r="N1271" s="203"/>
    </row>
    <row r="1272" spans="1:14" ht="26.45" customHeight="1">
      <c r="A1272" s="257" t="s">
        <v>2342</v>
      </c>
      <c r="B1272" s="170" t="s">
        <v>2343</v>
      </c>
      <c r="C1272" s="186" t="s">
        <v>43</v>
      </c>
      <c r="D1272" s="186" t="s">
        <v>2344</v>
      </c>
      <c r="E1272" s="171" t="s">
        <v>36</v>
      </c>
      <c r="F1272" s="170">
        <v>18</v>
      </c>
      <c r="G1272" s="172"/>
      <c r="H1272" s="194"/>
      <c r="I1272" s="195"/>
      <c r="J1272" s="172"/>
      <c r="K1272" s="264"/>
      <c r="N1272" s="203"/>
    </row>
    <row r="1273" spans="1:14" ht="38.25">
      <c r="A1273" s="257" t="s">
        <v>2345</v>
      </c>
      <c r="B1273" s="170" t="s">
        <v>2346</v>
      </c>
      <c r="C1273" s="186" t="s">
        <v>43</v>
      </c>
      <c r="D1273" s="186" t="s">
        <v>2347</v>
      </c>
      <c r="E1273" s="171" t="s">
        <v>36</v>
      </c>
      <c r="F1273" s="170">
        <v>1</v>
      </c>
      <c r="G1273" s="172"/>
      <c r="H1273" s="194"/>
      <c r="I1273" s="195"/>
      <c r="J1273" s="172"/>
      <c r="K1273" s="264"/>
      <c r="N1273" s="203"/>
    </row>
    <row r="1274" spans="1:14" ht="25.5">
      <c r="A1274" s="257" t="s">
        <v>2348</v>
      </c>
      <c r="B1274" s="170" t="s">
        <v>2349</v>
      </c>
      <c r="C1274" s="186" t="s">
        <v>43</v>
      </c>
      <c r="D1274" s="186" t="s">
        <v>2350</v>
      </c>
      <c r="E1274" s="171" t="s">
        <v>36</v>
      </c>
      <c r="F1274" s="170">
        <v>1</v>
      </c>
      <c r="G1274" s="172"/>
      <c r="H1274" s="194"/>
      <c r="I1274" s="195"/>
      <c r="J1274" s="172"/>
      <c r="K1274" s="264"/>
      <c r="N1274" s="203"/>
    </row>
    <row r="1275" spans="1:14" ht="25.5">
      <c r="A1275" s="257" t="s">
        <v>2351</v>
      </c>
      <c r="B1275" s="170" t="s">
        <v>2352</v>
      </c>
      <c r="C1275" s="186" t="s">
        <v>43</v>
      </c>
      <c r="D1275" s="186" t="s">
        <v>2353</v>
      </c>
      <c r="E1275" s="171" t="s">
        <v>36</v>
      </c>
      <c r="F1275" s="170">
        <v>1</v>
      </c>
      <c r="G1275" s="172"/>
      <c r="H1275" s="194"/>
      <c r="I1275" s="195"/>
      <c r="J1275" s="172"/>
      <c r="K1275" s="264"/>
      <c r="N1275" s="203"/>
    </row>
    <row r="1276" spans="1:14" ht="38.25">
      <c r="A1276" s="257" t="s">
        <v>2354</v>
      </c>
      <c r="B1276" s="170" t="s">
        <v>2355</v>
      </c>
      <c r="C1276" s="186" t="s">
        <v>43</v>
      </c>
      <c r="D1276" s="186" t="s">
        <v>2356</v>
      </c>
      <c r="E1276" s="171" t="s">
        <v>36</v>
      </c>
      <c r="F1276" s="170">
        <v>1</v>
      </c>
      <c r="G1276" s="172"/>
      <c r="H1276" s="194"/>
      <c r="I1276" s="195"/>
      <c r="J1276" s="172"/>
      <c r="K1276" s="264"/>
      <c r="N1276" s="203"/>
    </row>
    <row r="1277" spans="1:14" ht="38.25">
      <c r="A1277" s="257" t="s">
        <v>2357</v>
      </c>
      <c r="B1277" s="170" t="s">
        <v>2358</v>
      </c>
      <c r="C1277" s="186" t="s">
        <v>43</v>
      </c>
      <c r="D1277" s="186" t="s">
        <v>2359</v>
      </c>
      <c r="E1277" s="171" t="s">
        <v>36</v>
      </c>
      <c r="F1277" s="170">
        <v>12</v>
      </c>
      <c r="G1277" s="172"/>
      <c r="H1277" s="194"/>
      <c r="I1277" s="195"/>
      <c r="J1277" s="172"/>
      <c r="K1277" s="264"/>
      <c r="N1277" s="203"/>
    </row>
    <row r="1278" spans="1:14">
      <c r="A1278" s="257" t="s">
        <v>2360</v>
      </c>
      <c r="B1278" s="170" t="s">
        <v>2361</v>
      </c>
      <c r="C1278" s="186" t="s">
        <v>34</v>
      </c>
      <c r="D1278" s="186" t="s">
        <v>2362</v>
      </c>
      <c r="E1278" s="171" t="s">
        <v>144</v>
      </c>
      <c r="F1278" s="170">
        <v>14.5</v>
      </c>
      <c r="G1278" s="172"/>
      <c r="H1278" s="194"/>
      <c r="I1278" s="195"/>
      <c r="J1278" s="172"/>
      <c r="K1278" s="264"/>
      <c r="N1278" s="203"/>
    </row>
    <row r="1279" spans="1:14" ht="25.5">
      <c r="A1279" s="257" t="s">
        <v>2363</v>
      </c>
      <c r="B1279" s="170" t="s">
        <v>2364</v>
      </c>
      <c r="C1279" s="186" t="s">
        <v>43</v>
      </c>
      <c r="D1279" s="186" t="s">
        <v>2365</v>
      </c>
      <c r="E1279" s="171" t="s">
        <v>36</v>
      </c>
      <c r="F1279" s="170">
        <v>25</v>
      </c>
      <c r="G1279" s="172"/>
      <c r="H1279" s="194"/>
      <c r="I1279" s="195"/>
      <c r="J1279" s="172"/>
      <c r="K1279" s="264"/>
      <c r="N1279" s="203"/>
    </row>
    <row r="1280" spans="1:14">
      <c r="A1280" s="257" t="s">
        <v>2366</v>
      </c>
      <c r="B1280" s="170" t="s">
        <v>2367</v>
      </c>
      <c r="C1280" s="186" t="s">
        <v>34</v>
      </c>
      <c r="D1280" s="186" t="s">
        <v>2368</v>
      </c>
      <c r="E1280" s="171" t="s">
        <v>36</v>
      </c>
      <c r="F1280" s="170">
        <v>25</v>
      </c>
      <c r="G1280" s="172"/>
      <c r="H1280" s="194"/>
      <c r="I1280" s="195"/>
      <c r="J1280" s="172"/>
      <c r="K1280" s="264"/>
      <c r="N1280" s="203"/>
    </row>
    <row r="1281" spans="1:14" ht="38.25">
      <c r="A1281" s="257" t="s">
        <v>2369</v>
      </c>
      <c r="B1281" s="170" t="s">
        <v>2370</v>
      </c>
      <c r="C1281" s="186" t="s">
        <v>43</v>
      </c>
      <c r="D1281" s="186" t="s">
        <v>2371</v>
      </c>
      <c r="E1281" s="171" t="s">
        <v>36</v>
      </c>
      <c r="F1281" s="170">
        <v>49</v>
      </c>
      <c r="G1281" s="172"/>
      <c r="H1281" s="194"/>
      <c r="I1281" s="195"/>
      <c r="J1281" s="172"/>
      <c r="K1281" s="264"/>
      <c r="N1281" s="203"/>
    </row>
    <row r="1282" spans="1:14">
      <c r="A1282" s="257" t="s">
        <v>2372</v>
      </c>
      <c r="B1282" s="170" t="s">
        <v>2373</v>
      </c>
      <c r="C1282" s="186" t="s">
        <v>34</v>
      </c>
      <c r="D1282" s="186" t="s">
        <v>2374</v>
      </c>
      <c r="E1282" s="171" t="s">
        <v>36</v>
      </c>
      <c r="F1282" s="170">
        <v>22</v>
      </c>
      <c r="G1282" s="172"/>
      <c r="H1282" s="194"/>
      <c r="I1282" s="195"/>
      <c r="J1282" s="172"/>
      <c r="K1282" s="264"/>
      <c r="N1282" s="203"/>
    </row>
    <row r="1283" spans="1:14" ht="38.25">
      <c r="A1283" s="257" t="s">
        <v>2375</v>
      </c>
      <c r="B1283" s="170" t="s">
        <v>2376</v>
      </c>
      <c r="C1283" s="186" t="s">
        <v>43</v>
      </c>
      <c r="D1283" s="186" t="s">
        <v>2377</v>
      </c>
      <c r="E1283" s="171" t="s">
        <v>36</v>
      </c>
      <c r="F1283" s="170">
        <v>3</v>
      </c>
      <c r="G1283" s="172"/>
      <c r="H1283" s="194"/>
      <c r="I1283" s="195"/>
      <c r="J1283" s="172"/>
      <c r="K1283" s="264"/>
      <c r="N1283" s="203"/>
    </row>
    <row r="1284" spans="1:14" ht="38.25">
      <c r="A1284" s="257" t="s">
        <v>2378</v>
      </c>
      <c r="B1284" s="170" t="s">
        <v>2379</v>
      </c>
      <c r="C1284" s="186" t="s">
        <v>43</v>
      </c>
      <c r="D1284" s="186" t="s">
        <v>2380</v>
      </c>
      <c r="E1284" s="171" t="s">
        <v>144</v>
      </c>
      <c r="F1284" s="170">
        <v>1311.6</v>
      </c>
      <c r="G1284" s="172"/>
      <c r="H1284" s="194"/>
      <c r="I1284" s="195"/>
      <c r="J1284" s="172"/>
      <c r="K1284" s="264"/>
      <c r="N1284" s="203"/>
    </row>
    <row r="1285" spans="1:14" ht="38.25">
      <c r="A1285" s="257" t="s">
        <v>2381</v>
      </c>
      <c r="B1285" s="170" t="s">
        <v>533</v>
      </c>
      <c r="C1285" s="186" t="s">
        <v>43</v>
      </c>
      <c r="D1285" s="186" t="s">
        <v>534</v>
      </c>
      <c r="E1285" s="171" t="s">
        <v>144</v>
      </c>
      <c r="F1285" s="170">
        <v>19.8</v>
      </c>
      <c r="G1285" s="172"/>
      <c r="H1285" s="194"/>
      <c r="I1285" s="195"/>
      <c r="J1285" s="172"/>
      <c r="K1285" s="264"/>
      <c r="N1285" s="203"/>
    </row>
    <row r="1286" spans="1:14" ht="38.25">
      <c r="A1286" s="257" t="s">
        <v>2382</v>
      </c>
      <c r="B1286" s="170" t="s">
        <v>2383</v>
      </c>
      <c r="C1286" s="186" t="s">
        <v>43</v>
      </c>
      <c r="D1286" s="186" t="s">
        <v>2384</v>
      </c>
      <c r="E1286" s="171" t="s">
        <v>144</v>
      </c>
      <c r="F1286" s="170">
        <v>503.1</v>
      </c>
      <c r="G1286" s="172"/>
      <c r="H1286" s="194"/>
      <c r="I1286" s="195"/>
      <c r="J1286" s="172"/>
      <c r="K1286" s="264"/>
      <c r="N1286" s="203"/>
    </row>
    <row r="1287" spans="1:14" ht="38.25">
      <c r="A1287" s="257" t="s">
        <v>2385</v>
      </c>
      <c r="B1287" s="170" t="s">
        <v>2386</v>
      </c>
      <c r="C1287" s="186" t="s">
        <v>43</v>
      </c>
      <c r="D1287" s="186" t="s">
        <v>2387</v>
      </c>
      <c r="E1287" s="171" t="s">
        <v>144</v>
      </c>
      <c r="F1287" s="170">
        <v>326.7</v>
      </c>
      <c r="G1287" s="172"/>
      <c r="H1287" s="194"/>
      <c r="I1287" s="195"/>
      <c r="J1287" s="172"/>
      <c r="K1287" s="264"/>
      <c r="N1287" s="203"/>
    </row>
    <row r="1288" spans="1:14" ht="38.25">
      <c r="A1288" s="257" t="s">
        <v>2388</v>
      </c>
      <c r="B1288" s="170" t="s">
        <v>929</v>
      </c>
      <c r="C1288" s="186" t="s">
        <v>43</v>
      </c>
      <c r="D1288" s="186" t="s">
        <v>930</v>
      </c>
      <c r="E1288" s="171" t="s">
        <v>144</v>
      </c>
      <c r="F1288" s="170">
        <v>761</v>
      </c>
      <c r="G1288" s="172"/>
      <c r="H1288" s="194"/>
      <c r="I1288" s="195"/>
      <c r="J1288" s="172"/>
      <c r="K1288" s="264"/>
      <c r="N1288" s="203"/>
    </row>
    <row r="1289" spans="1:14" ht="38.25">
      <c r="A1289" s="257" t="s">
        <v>2389</v>
      </c>
      <c r="B1289" s="170" t="s">
        <v>2390</v>
      </c>
      <c r="C1289" s="186" t="s">
        <v>43</v>
      </c>
      <c r="D1289" s="186" t="s">
        <v>2391</v>
      </c>
      <c r="E1289" s="171" t="s">
        <v>144</v>
      </c>
      <c r="F1289" s="170">
        <v>102.3</v>
      </c>
      <c r="G1289" s="172"/>
      <c r="H1289" s="194"/>
      <c r="I1289" s="195"/>
      <c r="J1289" s="172"/>
      <c r="K1289" s="264"/>
      <c r="N1289" s="203"/>
    </row>
    <row r="1290" spans="1:14" ht="38.25">
      <c r="A1290" s="257" t="s">
        <v>2392</v>
      </c>
      <c r="B1290" s="170" t="s">
        <v>530</v>
      </c>
      <c r="C1290" s="186" t="s">
        <v>43</v>
      </c>
      <c r="D1290" s="186" t="s">
        <v>531</v>
      </c>
      <c r="E1290" s="171" t="s">
        <v>144</v>
      </c>
      <c r="F1290" s="170">
        <v>426.3</v>
      </c>
      <c r="G1290" s="172"/>
      <c r="H1290" s="194"/>
      <c r="I1290" s="195"/>
      <c r="J1290" s="172"/>
      <c r="K1290" s="264"/>
      <c r="N1290" s="203"/>
    </row>
    <row r="1291" spans="1:14" ht="38.25">
      <c r="A1291" s="257" t="s">
        <v>2393</v>
      </c>
      <c r="B1291" s="170" t="s">
        <v>521</v>
      </c>
      <c r="C1291" s="186" t="s">
        <v>43</v>
      </c>
      <c r="D1291" s="186" t="s">
        <v>522</v>
      </c>
      <c r="E1291" s="171" t="s">
        <v>144</v>
      </c>
      <c r="F1291" s="170">
        <v>750.1</v>
      </c>
      <c r="G1291" s="172"/>
      <c r="H1291" s="194"/>
      <c r="I1291" s="195"/>
      <c r="J1291" s="172"/>
      <c r="K1291" s="264"/>
      <c r="N1291" s="203"/>
    </row>
    <row r="1292" spans="1:14" ht="38.25">
      <c r="A1292" s="257" t="s">
        <v>2394</v>
      </c>
      <c r="B1292" s="170" t="s">
        <v>518</v>
      </c>
      <c r="C1292" s="186" t="s">
        <v>43</v>
      </c>
      <c r="D1292" s="186" t="s">
        <v>519</v>
      </c>
      <c r="E1292" s="171" t="s">
        <v>144</v>
      </c>
      <c r="F1292" s="170">
        <v>54.3</v>
      </c>
      <c r="G1292" s="172"/>
      <c r="H1292" s="194"/>
      <c r="I1292" s="195"/>
      <c r="J1292" s="172"/>
      <c r="K1292" s="264"/>
      <c r="N1292" s="203"/>
    </row>
    <row r="1293" spans="1:14" ht="38.25">
      <c r="A1293" s="257" t="s">
        <v>2395</v>
      </c>
      <c r="B1293" s="170" t="s">
        <v>2396</v>
      </c>
      <c r="C1293" s="186" t="s">
        <v>43</v>
      </c>
      <c r="D1293" s="186" t="s">
        <v>2397</v>
      </c>
      <c r="E1293" s="171" t="s">
        <v>144</v>
      </c>
      <c r="F1293" s="170">
        <v>752.7</v>
      </c>
      <c r="G1293" s="172"/>
      <c r="H1293" s="194"/>
      <c r="I1293" s="195"/>
      <c r="J1293" s="172"/>
      <c r="K1293" s="264"/>
      <c r="N1293" s="203"/>
    </row>
    <row r="1294" spans="1:14" ht="38.25">
      <c r="A1294" s="257" t="s">
        <v>2398</v>
      </c>
      <c r="B1294" s="170" t="s">
        <v>2399</v>
      </c>
      <c r="C1294" s="186" t="s">
        <v>43</v>
      </c>
      <c r="D1294" s="186" t="s">
        <v>2400</v>
      </c>
      <c r="E1294" s="171" t="s">
        <v>144</v>
      </c>
      <c r="F1294" s="170">
        <v>1440</v>
      </c>
      <c r="G1294" s="172"/>
      <c r="H1294" s="194"/>
      <c r="I1294" s="195"/>
      <c r="J1294" s="172"/>
      <c r="K1294" s="264"/>
      <c r="N1294" s="203"/>
    </row>
    <row r="1295" spans="1:14" ht="38.25">
      <c r="A1295" s="257" t="s">
        <v>2401</v>
      </c>
      <c r="B1295" s="170" t="s">
        <v>657</v>
      </c>
      <c r="C1295" s="186" t="s">
        <v>43</v>
      </c>
      <c r="D1295" s="186" t="s">
        <v>658</v>
      </c>
      <c r="E1295" s="171" t="s">
        <v>36</v>
      </c>
      <c r="F1295" s="170">
        <v>10</v>
      </c>
      <c r="G1295" s="172"/>
      <c r="H1295" s="194"/>
      <c r="I1295" s="195"/>
      <c r="J1295" s="172"/>
      <c r="K1295" s="264"/>
      <c r="N1295" s="203"/>
    </row>
    <row r="1296" spans="1:14" ht="38.25">
      <c r="A1296" s="257" t="s">
        <v>2402</v>
      </c>
      <c r="B1296" s="170" t="s">
        <v>654</v>
      </c>
      <c r="C1296" s="186" t="s">
        <v>43</v>
      </c>
      <c r="D1296" s="186" t="s">
        <v>655</v>
      </c>
      <c r="E1296" s="171" t="s">
        <v>36</v>
      </c>
      <c r="F1296" s="170">
        <v>15</v>
      </c>
      <c r="G1296" s="172"/>
      <c r="H1296" s="194"/>
      <c r="I1296" s="195"/>
      <c r="J1296" s="172"/>
      <c r="K1296" s="264"/>
      <c r="N1296" s="203"/>
    </row>
    <row r="1297" spans="1:14" ht="25.5">
      <c r="A1297" s="257" t="s">
        <v>2403</v>
      </c>
      <c r="B1297" s="170" t="s">
        <v>2404</v>
      </c>
      <c r="C1297" s="186" t="s">
        <v>34</v>
      </c>
      <c r="D1297" s="186" t="s">
        <v>2405</v>
      </c>
      <c r="E1297" s="171" t="s">
        <v>144</v>
      </c>
      <c r="F1297" s="170">
        <v>178</v>
      </c>
      <c r="G1297" s="172"/>
      <c r="H1297" s="194"/>
      <c r="I1297" s="195"/>
      <c r="J1297" s="172"/>
      <c r="K1297" s="264"/>
      <c r="N1297" s="203"/>
    </row>
    <row r="1298" spans="1:14">
      <c r="A1298" s="257" t="s">
        <v>2406</v>
      </c>
      <c r="B1298" s="170" t="s">
        <v>584</v>
      </c>
      <c r="C1298" s="186" t="s">
        <v>34</v>
      </c>
      <c r="D1298" s="186" t="s">
        <v>585</v>
      </c>
      <c r="E1298" s="171" t="s">
        <v>36</v>
      </c>
      <c r="F1298" s="170">
        <v>1</v>
      </c>
      <c r="G1298" s="172"/>
      <c r="H1298" s="194"/>
      <c r="I1298" s="195"/>
      <c r="J1298" s="172"/>
      <c r="K1298" s="264"/>
      <c r="N1298" s="203"/>
    </row>
    <row r="1299" spans="1:14" ht="25.5">
      <c r="A1299" s="257" t="s">
        <v>2407</v>
      </c>
      <c r="B1299" s="170" t="s">
        <v>488</v>
      </c>
      <c r="C1299" s="186" t="s">
        <v>43</v>
      </c>
      <c r="D1299" s="186" t="s">
        <v>489</v>
      </c>
      <c r="E1299" s="171" t="s">
        <v>36</v>
      </c>
      <c r="F1299" s="170">
        <v>10</v>
      </c>
      <c r="G1299" s="172"/>
      <c r="H1299" s="194"/>
      <c r="I1299" s="195"/>
      <c r="J1299" s="172"/>
      <c r="K1299" s="264"/>
      <c r="N1299" s="203"/>
    </row>
    <row r="1300" spans="1:14" ht="25.5">
      <c r="A1300" s="257" t="s">
        <v>2408</v>
      </c>
      <c r="B1300" s="170" t="s">
        <v>512</v>
      </c>
      <c r="C1300" s="186" t="s">
        <v>43</v>
      </c>
      <c r="D1300" s="186" t="s">
        <v>513</v>
      </c>
      <c r="E1300" s="171" t="s">
        <v>36</v>
      </c>
      <c r="F1300" s="170">
        <v>7</v>
      </c>
      <c r="G1300" s="172"/>
      <c r="H1300" s="194"/>
      <c r="I1300" s="195"/>
      <c r="J1300" s="172"/>
      <c r="K1300" s="264"/>
      <c r="N1300" s="203"/>
    </row>
    <row r="1301" spans="1:14" ht="25.5">
      <c r="A1301" s="257" t="s">
        <v>2409</v>
      </c>
      <c r="B1301" s="170" t="s">
        <v>2410</v>
      </c>
      <c r="C1301" s="186" t="s">
        <v>34</v>
      </c>
      <c r="D1301" s="186" t="s">
        <v>2411</v>
      </c>
      <c r="E1301" s="171" t="s">
        <v>36</v>
      </c>
      <c r="F1301" s="170">
        <v>4</v>
      </c>
      <c r="G1301" s="172"/>
      <c r="H1301" s="194"/>
      <c r="I1301" s="195"/>
      <c r="J1301" s="172"/>
      <c r="K1301" s="264"/>
      <c r="N1301" s="203"/>
    </row>
    <row r="1302" spans="1:14" ht="38.25">
      <c r="A1302" s="257" t="s">
        <v>2412</v>
      </c>
      <c r="B1302" s="170" t="s">
        <v>669</v>
      </c>
      <c r="C1302" s="186" t="s">
        <v>43</v>
      </c>
      <c r="D1302" s="186" t="s">
        <v>670</v>
      </c>
      <c r="E1302" s="171" t="s">
        <v>144</v>
      </c>
      <c r="F1302" s="170">
        <v>422</v>
      </c>
      <c r="G1302" s="172"/>
      <c r="H1302" s="194"/>
      <c r="I1302" s="195"/>
      <c r="J1302" s="172"/>
      <c r="K1302" s="264"/>
      <c r="N1302" s="203"/>
    </row>
    <row r="1303" spans="1:14" ht="38.25">
      <c r="A1303" s="257" t="s">
        <v>2413</v>
      </c>
      <c r="B1303" s="170" t="s">
        <v>672</v>
      </c>
      <c r="C1303" s="186" t="s">
        <v>43</v>
      </c>
      <c r="D1303" s="186" t="s">
        <v>673</v>
      </c>
      <c r="E1303" s="171" t="s">
        <v>144</v>
      </c>
      <c r="F1303" s="170">
        <v>375</v>
      </c>
      <c r="G1303" s="172"/>
      <c r="H1303" s="194"/>
      <c r="I1303" s="195"/>
      <c r="J1303" s="172"/>
      <c r="K1303" s="264"/>
      <c r="N1303" s="203"/>
    </row>
    <row r="1304" spans="1:14" ht="38.25">
      <c r="A1304" s="257" t="s">
        <v>2414</v>
      </c>
      <c r="B1304" s="170" t="s">
        <v>2415</v>
      </c>
      <c r="C1304" s="186" t="s">
        <v>43</v>
      </c>
      <c r="D1304" s="186" t="s">
        <v>2416</v>
      </c>
      <c r="E1304" s="171" t="s">
        <v>144</v>
      </c>
      <c r="F1304" s="170">
        <v>228.8</v>
      </c>
      <c r="G1304" s="172"/>
      <c r="H1304" s="194"/>
      <c r="I1304" s="195"/>
      <c r="J1304" s="172"/>
      <c r="K1304" s="264"/>
      <c r="N1304" s="203"/>
    </row>
    <row r="1305" spans="1:14" ht="38.25">
      <c r="A1305" s="257" t="s">
        <v>2417</v>
      </c>
      <c r="B1305" s="170" t="s">
        <v>675</v>
      </c>
      <c r="C1305" s="186" t="s">
        <v>43</v>
      </c>
      <c r="D1305" s="186" t="s">
        <v>676</v>
      </c>
      <c r="E1305" s="171" t="s">
        <v>144</v>
      </c>
      <c r="F1305" s="170">
        <v>89.4</v>
      </c>
      <c r="G1305" s="172"/>
      <c r="H1305" s="194"/>
      <c r="I1305" s="195"/>
      <c r="J1305" s="172"/>
      <c r="K1305" s="264"/>
      <c r="N1305" s="203"/>
    </row>
    <row r="1306" spans="1:14" ht="38.25">
      <c r="A1306" s="257" t="s">
        <v>2418</v>
      </c>
      <c r="B1306" s="170" t="s">
        <v>2419</v>
      </c>
      <c r="C1306" s="186" t="s">
        <v>43</v>
      </c>
      <c r="D1306" s="186" t="s">
        <v>2420</v>
      </c>
      <c r="E1306" s="171" t="s">
        <v>144</v>
      </c>
      <c r="F1306" s="170">
        <v>25.6</v>
      </c>
      <c r="G1306" s="172"/>
      <c r="H1306" s="194"/>
      <c r="I1306" s="195"/>
      <c r="J1306" s="172"/>
      <c r="K1306" s="264"/>
      <c r="N1306" s="203"/>
    </row>
    <row r="1307" spans="1:14" ht="38.25">
      <c r="A1307" s="257" t="s">
        <v>2421</v>
      </c>
      <c r="B1307" s="170" t="s">
        <v>2422</v>
      </c>
      <c r="C1307" s="186" t="s">
        <v>43</v>
      </c>
      <c r="D1307" s="186" t="s">
        <v>2423</v>
      </c>
      <c r="E1307" s="171" t="s">
        <v>36</v>
      </c>
      <c r="F1307" s="170">
        <v>5</v>
      </c>
      <c r="G1307" s="172"/>
      <c r="H1307" s="194"/>
      <c r="I1307" s="195"/>
      <c r="J1307" s="172"/>
      <c r="K1307" s="264"/>
      <c r="N1307" s="203"/>
    </row>
    <row r="1308" spans="1:14" ht="38.25">
      <c r="A1308" s="257" t="s">
        <v>2424</v>
      </c>
      <c r="B1308" s="170" t="s">
        <v>2425</v>
      </c>
      <c r="C1308" s="186" t="s">
        <v>43</v>
      </c>
      <c r="D1308" s="186" t="s">
        <v>2426</v>
      </c>
      <c r="E1308" s="171" t="s">
        <v>144</v>
      </c>
      <c r="F1308" s="170">
        <v>14.9</v>
      </c>
      <c r="G1308" s="172"/>
      <c r="H1308" s="194"/>
      <c r="I1308" s="195"/>
      <c r="J1308" s="172"/>
      <c r="K1308" s="264"/>
      <c r="N1308" s="203"/>
    </row>
    <row r="1309" spans="1:14" ht="25.5">
      <c r="A1309" s="257" t="s">
        <v>2427</v>
      </c>
      <c r="B1309" s="170" t="s">
        <v>2428</v>
      </c>
      <c r="C1309" s="186" t="s">
        <v>43</v>
      </c>
      <c r="D1309" s="186" t="s">
        <v>2429</v>
      </c>
      <c r="E1309" s="171" t="s">
        <v>36</v>
      </c>
      <c r="F1309" s="170">
        <v>43</v>
      </c>
      <c r="G1309" s="172"/>
      <c r="H1309" s="194"/>
      <c r="I1309" s="195"/>
      <c r="J1309" s="172"/>
      <c r="K1309" s="264"/>
      <c r="N1309" s="203"/>
    </row>
    <row r="1310" spans="1:14" ht="25.5">
      <c r="A1310" s="257" t="s">
        <v>2430</v>
      </c>
      <c r="B1310" s="170" t="s">
        <v>2431</v>
      </c>
      <c r="C1310" s="186" t="s">
        <v>43</v>
      </c>
      <c r="D1310" s="186" t="s">
        <v>2432</v>
      </c>
      <c r="E1310" s="171" t="s">
        <v>36</v>
      </c>
      <c r="F1310" s="170">
        <v>6</v>
      </c>
      <c r="G1310" s="172"/>
      <c r="H1310" s="194"/>
      <c r="I1310" s="195"/>
      <c r="J1310" s="172"/>
      <c r="K1310" s="264"/>
      <c r="N1310" s="203"/>
    </row>
    <row r="1311" spans="1:14">
      <c r="A1311" s="257" t="s">
        <v>2433</v>
      </c>
      <c r="B1311" s="170" t="s">
        <v>639</v>
      </c>
      <c r="C1311" s="186" t="s">
        <v>34</v>
      </c>
      <c r="D1311" s="186" t="s">
        <v>640</v>
      </c>
      <c r="E1311" s="171" t="s">
        <v>36</v>
      </c>
      <c r="F1311" s="170">
        <v>3</v>
      </c>
      <c r="G1311" s="172"/>
      <c r="H1311" s="194"/>
      <c r="I1311" s="195"/>
      <c r="J1311" s="172"/>
      <c r="K1311" s="264"/>
      <c r="N1311" s="203"/>
    </row>
    <row r="1312" spans="1:14" ht="39.6" customHeight="1">
      <c r="A1312" s="257" t="s">
        <v>2434</v>
      </c>
      <c r="B1312" s="170" t="s">
        <v>2435</v>
      </c>
      <c r="C1312" s="186" t="s">
        <v>43</v>
      </c>
      <c r="D1312" s="186" t="s">
        <v>2436</v>
      </c>
      <c r="E1312" s="171" t="s">
        <v>36</v>
      </c>
      <c r="F1312" s="170">
        <v>1</v>
      </c>
      <c r="G1312" s="172"/>
      <c r="H1312" s="194"/>
      <c r="I1312" s="195"/>
      <c r="J1312" s="172"/>
      <c r="K1312" s="264"/>
      <c r="N1312" s="203"/>
    </row>
    <row r="1313" spans="1:14" ht="39.6" customHeight="1">
      <c r="A1313" s="257" t="s">
        <v>2437</v>
      </c>
      <c r="B1313" s="170" t="s">
        <v>2438</v>
      </c>
      <c r="C1313" s="186" t="s">
        <v>43</v>
      </c>
      <c r="D1313" s="186" t="s">
        <v>2439</v>
      </c>
      <c r="E1313" s="171" t="s">
        <v>36</v>
      </c>
      <c r="F1313" s="170">
        <v>6</v>
      </c>
      <c r="G1313" s="172"/>
      <c r="H1313" s="194"/>
      <c r="I1313" s="195"/>
      <c r="J1313" s="172"/>
      <c r="K1313" s="264"/>
      <c r="N1313" s="203"/>
    </row>
    <row r="1314" spans="1:14" ht="38.25">
      <c r="A1314" s="257" t="s">
        <v>2440</v>
      </c>
      <c r="B1314" s="170" t="s">
        <v>693</v>
      </c>
      <c r="C1314" s="186" t="s">
        <v>43</v>
      </c>
      <c r="D1314" s="186" t="s">
        <v>694</v>
      </c>
      <c r="E1314" s="171" t="s">
        <v>36</v>
      </c>
      <c r="F1314" s="170">
        <v>9</v>
      </c>
      <c r="G1314" s="172"/>
      <c r="H1314" s="194"/>
      <c r="I1314" s="195"/>
      <c r="J1314" s="172"/>
      <c r="K1314" s="264"/>
      <c r="N1314" s="203"/>
    </row>
    <row r="1315" spans="1:14" ht="38.25">
      <c r="A1315" s="257" t="s">
        <v>2441</v>
      </c>
      <c r="B1315" s="170" t="s">
        <v>690</v>
      </c>
      <c r="C1315" s="186" t="s">
        <v>43</v>
      </c>
      <c r="D1315" s="186" t="s">
        <v>691</v>
      </c>
      <c r="E1315" s="171" t="s">
        <v>36</v>
      </c>
      <c r="F1315" s="170">
        <v>1</v>
      </c>
      <c r="G1315" s="172"/>
      <c r="H1315" s="194"/>
      <c r="I1315" s="195"/>
      <c r="J1315" s="172"/>
      <c r="K1315" s="264"/>
      <c r="N1315" s="203"/>
    </row>
    <row r="1316" spans="1:14" ht="38.25">
      <c r="A1316" s="257" t="s">
        <v>2442</v>
      </c>
      <c r="B1316" s="170" t="s">
        <v>2443</v>
      </c>
      <c r="C1316" s="186" t="s">
        <v>34</v>
      </c>
      <c r="D1316" s="186" t="s">
        <v>2444</v>
      </c>
      <c r="E1316" s="171" t="s">
        <v>36</v>
      </c>
      <c r="F1316" s="170">
        <v>1</v>
      </c>
      <c r="G1316" s="172"/>
      <c r="H1316" s="194"/>
      <c r="I1316" s="195"/>
      <c r="J1316" s="172"/>
      <c r="K1316" s="264"/>
      <c r="N1316" s="203"/>
    </row>
    <row r="1317" spans="1:14" ht="25.5">
      <c r="A1317" s="257" t="s">
        <v>2445</v>
      </c>
      <c r="B1317" s="170" t="s">
        <v>2446</v>
      </c>
      <c r="C1317" s="186" t="s">
        <v>43</v>
      </c>
      <c r="D1317" s="186" t="s">
        <v>2447</v>
      </c>
      <c r="E1317" s="171" t="s">
        <v>36</v>
      </c>
      <c r="F1317" s="170">
        <v>43</v>
      </c>
      <c r="G1317" s="172"/>
      <c r="H1317" s="194"/>
      <c r="I1317" s="195"/>
      <c r="J1317" s="172"/>
      <c r="K1317" s="264"/>
      <c r="N1317" s="203"/>
    </row>
    <row r="1318" spans="1:14">
      <c r="A1318" s="257" t="s">
        <v>2448</v>
      </c>
      <c r="B1318" s="170" t="s">
        <v>2449</v>
      </c>
      <c r="C1318" s="186" t="s">
        <v>34</v>
      </c>
      <c r="D1318" s="186" t="s">
        <v>2450</v>
      </c>
      <c r="E1318" s="171" t="s">
        <v>36</v>
      </c>
      <c r="F1318" s="170">
        <v>1</v>
      </c>
      <c r="G1318" s="172"/>
      <c r="H1318" s="194"/>
      <c r="I1318" s="195"/>
      <c r="J1318" s="172"/>
      <c r="K1318" s="264"/>
      <c r="N1318" s="203"/>
    </row>
    <row r="1319" spans="1:14" ht="25.5">
      <c r="A1319" s="257" t="s">
        <v>2451</v>
      </c>
      <c r="B1319" s="170" t="s">
        <v>2452</v>
      </c>
      <c r="C1319" s="186" t="s">
        <v>34</v>
      </c>
      <c r="D1319" s="186" t="s">
        <v>2453</v>
      </c>
      <c r="E1319" s="171" t="s">
        <v>36</v>
      </c>
      <c r="F1319" s="170">
        <v>1</v>
      </c>
      <c r="G1319" s="172"/>
      <c r="H1319" s="194"/>
      <c r="I1319" s="195"/>
      <c r="J1319" s="172"/>
      <c r="K1319" s="264"/>
      <c r="N1319" s="202"/>
    </row>
    <row r="1320" spans="1:14">
      <c r="A1320" s="257" t="s">
        <v>2454</v>
      </c>
      <c r="B1320" s="170" t="s">
        <v>2455</v>
      </c>
      <c r="C1320" s="186" t="s">
        <v>43</v>
      </c>
      <c r="D1320" s="186" t="s">
        <v>2456</v>
      </c>
      <c r="E1320" s="171" t="s">
        <v>126</v>
      </c>
      <c r="F1320" s="170">
        <v>329.65</v>
      </c>
      <c r="G1320" s="172"/>
      <c r="H1320" s="194"/>
      <c r="I1320" s="195"/>
      <c r="J1320" s="172"/>
      <c r="K1320" s="264"/>
      <c r="N1320" s="203"/>
    </row>
    <row r="1321" spans="1:14">
      <c r="A1321" s="259" t="s">
        <v>2457</v>
      </c>
      <c r="B1321" s="187"/>
      <c r="C1321" s="187"/>
      <c r="D1321" s="187" t="s">
        <v>2458</v>
      </c>
      <c r="E1321" s="187"/>
      <c r="F1321" s="169"/>
      <c r="G1321" s="187"/>
      <c r="H1321" s="193"/>
      <c r="I1321" s="187"/>
      <c r="J1321" s="192"/>
      <c r="K1321" s="263"/>
      <c r="N1321" s="202"/>
    </row>
    <row r="1322" spans="1:14" ht="38.25">
      <c r="A1322" s="257" t="s">
        <v>2459</v>
      </c>
      <c r="B1322" s="170" t="s">
        <v>2460</v>
      </c>
      <c r="C1322" s="186" t="s">
        <v>34</v>
      </c>
      <c r="D1322" s="186" t="s">
        <v>2461</v>
      </c>
      <c r="E1322" s="171" t="s">
        <v>2462</v>
      </c>
      <c r="F1322" s="170">
        <v>1</v>
      </c>
      <c r="G1322" s="172"/>
      <c r="H1322" s="194"/>
      <c r="I1322" s="195"/>
      <c r="J1322" s="172"/>
      <c r="K1322" s="264"/>
      <c r="N1322" s="203"/>
    </row>
    <row r="1323" spans="1:14">
      <c r="A1323" s="259" t="s">
        <v>2463</v>
      </c>
      <c r="B1323" s="187"/>
      <c r="C1323" s="187"/>
      <c r="D1323" s="187" t="s">
        <v>2464</v>
      </c>
      <c r="E1323" s="187"/>
      <c r="F1323" s="169"/>
      <c r="G1323" s="187"/>
      <c r="H1323" s="193"/>
      <c r="I1323" s="187"/>
      <c r="J1323" s="192"/>
      <c r="K1323" s="263"/>
      <c r="N1323" s="203"/>
    </row>
    <row r="1324" spans="1:14">
      <c r="A1324" s="257" t="s">
        <v>2465</v>
      </c>
      <c r="B1324" s="170" t="s">
        <v>2466</v>
      </c>
      <c r="C1324" s="186" t="s">
        <v>34</v>
      </c>
      <c r="D1324" s="186" t="s">
        <v>2467</v>
      </c>
      <c r="E1324" s="171" t="s">
        <v>45</v>
      </c>
      <c r="F1324" s="170">
        <v>2663</v>
      </c>
      <c r="G1324" s="172"/>
      <c r="H1324" s="194"/>
      <c r="I1324" s="195"/>
      <c r="J1324" s="172"/>
      <c r="K1324" s="264"/>
      <c r="N1324" s="203"/>
    </row>
    <row r="1325" spans="1:14" ht="25.5">
      <c r="A1325" s="257" t="s">
        <v>2468</v>
      </c>
      <c r="B1325" s="170" t="s">
        <v>2469</v>
      </c>
      <c r="C1325" s="186" t="s">
        <v>34</v>
      </c>
      <c r="D1325" s="186" t="s">
        <v>2470</v>
      </c>
      <c r="E1325" s="171" t="s">
        <v>126</v>
      </c>
      <c r="F1325" s="170">
        <v>532.6</v>
      </c>
      <c r="G1325" s="172"/>
      <c r="H1325" s="194"/>
      <c r="I1325" s="195"/>
      <c r="J1325" s="172"/>
      <c r="K1325" s="264"/>
      <c r="N1325" s="203"/>
    </row>
    <row r="1326" spans="1:14" ht="38.25">
      <c r="A1326" s="257" t="s">
        <v>2471</v>
      </c>
      <c r="B1326" s="170" t="s">
        <v>2472</v>
      </c>
      <c r="C1326" s="186" t="s">
        <v>43</v>
      </c>
      <c r="D1326" s="186" t="s">
        <v>2473</v>
      </c>
      <c r="E1326" s="171" t="s">
        <v>45</v>
      </c>
      <c r="F1326" s="170">
        <v>1555.99</v>
      </c>
      <c r="G1326" s="172"/>
      <c r="H1326" s="194"/>
      <c r="I1326" s="195"/>
      <c r="J1326" s="172"/>
      <c r="K1326" s="264"/>
      <c r="N1326" s="203"/>
    </row>
    <row r="1327" spans="1:14" ht="25.5">
      <c r="A1327" s="257" t="s">
        <v>2474</v>
      </c>
      <c r="B1327" s="170" t="s">
        <v>2475</v>
      </c>
      <c r="C1327" s="186" t="s">
        <v>34</v>
      </c>
      <c r="D1327" s="186" t="s">
        <v>2476</v>
      </c>
      <c r="E1327" s="171" t="s">
        <v>276</v>
      </c>
      <c r="F1327" s="170">
        <v>50</v>
      </c>
      <c r="G1327" s="172"/>
      <c r="H1327" s="194"/>
      <c r="I1327" s="195"/>
      <c r="J1327" s="172"/>
      <c r="K1327" s="264"/>
      <c r="N1327" s="203"/>
    </row>
    <row r="1328" spans="1:14" ht="25.5">
      <c r="A1328" s="257" t="s">
        <v>2477</v>
      </c>
      <c r="B1328" s="170" t="s">
        <v>2478</v>
      </c>
      <c r="C1328" s="186" t="s">
        <v>43</v>
      </c>
      <c r="D1328" s="186" t="s">
        <v>2479</v>
      </c>
      <c r="E1328" s="171" t="s">
        <v>45</v>
      </c>
      <c r="F1328" s="170">
        <v>2613</v>
      </c>
      <c r="G1328" s="172"/>
      <c r="H1328" s="194"/>
      <c r="I1328" s="195"/>
      <c r="J1328" s="172"/>
      <c r="K1328" s="264"/>
      <c r="N1328" s="203"/>
    </row>
    <row r="1329" spans="1:14" ht="25.5">
      <c r="A1329" s="257" t="s">
        <v>2480</v>
      </c>
      <c r="B1329" s="170" t="s">
        <v>2481</v>
      </c>
      <c r="C1329" s="186" t="s">
        <v>43</v>
      </c>
      <c r="D1329" s="186" t="s">
        <v>2482</v>
      </c>
      <c r="E1329" s="171" t="s">
        <v>144</v>
      </c>
      <c r="F1329" s="170">
        <v>355.8</v>
      </c>
      <c r="G1329" s="172"/>
      <c r="H1329" s="194"/>
      <c r="I1329" s="195"/>
      <c r="J1329" s="172"/>
      <c r="K1329" s="264"/>
      <c r="N1329" s="203"/>
    </row>
    <row r="1330" spans="1:14" ht="38.25">
      <c r="A1330" s="257" t="s">
        <v>2483</v>
      </c>
      <c r="B1330" s="170" t="s">
        <v>2484</v>
      </c>
      <c r="C1330" s="186" t="s">
        <v>43</v>
      </c>
      <c r="D1330" s="186" t="s">
        <v>2485</v>
      </c>
      <c r="E1330" s="171" t="s">
        <v>45</v>
      </c>
      <c r="F1330" s="170">
        <v>6.4</v>
      </c>
      <c r="G1330" s="172"/>
      <c r="H1330" s="194"/>
      <c r="I1330" s="195"/>
      <c r="J1330" s="172"/>
      <c r="K1330" s="264"/>
      <c r="N1330" s="202"/>
    </row>
    <row r="1331" spans="1:14" ht="25.5">
      <c r="A1331" s="257" t="s">
        <v>2486</v>
      </c>
      <c r="B1331" s="170" t="s">
        <v>2487</v>
      </c>
      <c r="C1331" s="186" t="s">
        <v>43</v>
      </c>
      <c r="D1331" s="186" t="s">
        <v>2488</v>
      </c>
      <c r="E1331" s="171" t="s">
        <v>45</v>
      </c>
      <c r="F1331" s="170">
        <v>0.53</v>
      </c>
      <c r="G1331" s="172"/>
      <c r="H1331" s="194"/>
      <c r="I1331" s="195"/>
      <c r="J1331" s="172"/>
      <c r="K1331" s="264"/>
      <c r="N1331" s="203"/>
    </row>
    <row r="1332" spans="1:14">
      <c r="A1332" s="259" t="s">
        <v>2489</v>
      </c>
      <c r="B1332" s="187"/>
      <c r="C1332" s="187"/>
      <c r="D1332" s="187" t="s">
        <v>2490</v>
      </c>
      <c r="E1332" s="187"/>
      <c r="F1332" s="169"/>
      <c r="G1332" s="187"/>
      <c r="H1332" s="193"/>
      <c r="I1332" s="187"/>
      <c r="J1332" s="192"/>
      <c r="K1332" s="263"/>
      <c r="N1332" s="203"/>
    </row>
    <row r="1333" spans="1:14" ht="25.5">
      <c r="A1333" s="257" t="s">
        <v>2491</v>
      </c>
      <c r="B1333" s="170" t="s">
        <v>2492</v>
      </c>
      <c r="C1333" s="186" t="s">
        <v>43</v>
      </c>
      <c r="D1333" s="186" t="s">
        <v>2493</v>
      </c>
      <c r="E1333" s="171" t="s">
        <v>36</v>
      </c>
      <c r="F1333" s="170">
        <v>32</v>
      </c>
      <c r="G1333" s="172"/>
      <c r="H1333" s="194"/>
      <c r="I1333" s="195"/>
      <c r="J1333" s="172"/>
      <c r="K1333" s="264"/>
      <c r="N1333" s="203"/>
    </row>
    <row r="1334" spans="1:14" ht="25.5">
      <c r="A1334" s="257" t="s">
        <v>2494</v>
      </c>
      <c r="B1334" s="170" t="s">
        <v>2495</v>
      </c>
      <c r="C1334" s="186" t="s">
        <v>43</v>
      </c>
      <c r="D1334" s="186" t="s">
        <v>2496</v>
      </c>
      <c r="E1334" s="171" t="s">
        <v>45</v>
      </c>
      <c r="F1334" s="170">
        <v>1304.1500000000001</v>
      </c>
      <c r="G1334" s="172"/>
      <c r="H1334" s="194"/>
      <c r="I1334" s="195"/>
      <c r="J1334" s="172"/>
      <c r="K1334" s="264"/>
      <c r="N1334" s="203"/>
    </row>
    <row r="1335" spans="1:14">
      <c r="A1335" s="257" t="s">
        <v>2497</v>
      </c>
      <c r="B1335" s="170" t="s">
        <v>2498</v>
      </c>
      <c r="C1335" s="186" t="s">
        <v>43</v>
      </c>
      <c r="D1335" s="186" t="s">
        <v>2499</v>
      </c>
      <c r="E1335" s="171" t="s">
        <v>45</v>
      </c>
      <c r="F1335" s="170">
        <v>398.75</v>
      </c>
      <c r="G1335" s="172"/>
      <c r="H1335" s="194"/>
      <c r="I1335" s="195"/>
      <c r="J1335" s="172"/>
      <c r="K1335" s="264"/>
      <c r="N1335" s="203"/>
    </row>
    <row r="1336" spans="1:14">
      <c r="A1336" s="257" t="s">
        <v>2500</v>
      </c>
      <c r="B1336" s="170" t="s">
        <v>2501</v>
      </c>
      <c r="C1336" s="186" t="s">
        <v>43</v>
      </c>
      <c r="D1336" s="186" t="s">
        <v>2502</v>
      </c>
      <c r="E1336" s="171" t="s">
        <v>36</v>
      </c>
      <c r="F1336" s="170">
        <v>1</v>
      </c>
      <c r="G1336" s="172"/>
      <c r="H1336" s="194"/>
      <c r="I1336" s="195"/>
      <c r="J1336" s="172"/>
      <c r="K1336" s="264"/>
      <c r="N1336" s="202"/>
    </row>
    <row r="1337" spans="1:14">
      <c r="A1337" s="257" t="s">
        <v>2503</v>
      </c>
      <c r="B1337" s="170" t="s">
        <v>2504</v>
      </c>
      <c r="C1337" s="186" t="s">
        <v>43</v>
      </c>
      <c r="D1337" s="186" t="s">
        <v>2505</v>
      </c>
      <c r="E1337" s="171" t="s">
        <v>45</v>
      </c>
      <c r="F1337" s="170">
        <v>1304.1500000000001</v>
      </c>
      <c r="G1337" s="172"/>
      <c r="H1337" s="194"/>
      <c r="I1337" s="195"/>
      <c r="J1337" s="172"/>
      <c r="K1337" s="264"/>
      <c r="N1337" s="203"/>
    </row>
    <row r="1338" spans="1:14">
      <c r="A1338" s="259" t="s">
        <v>2506</v>
      </c>
      <c r="B1338" s="187"/>
      <c r="C1338" s="187"/>
      <c r="D1338" s="187" t="s">
        <v>2507</v>
      </c>
      <c r="E1338" s="187"/>
      <c r="F1338" s="169"/>
      <c r="G1338" s="187"/>
      <c r="H1338" s="193"/>
      <c r="I1338" s="187"/>
      <c r="J1338" s="192"/>
      <c r="K1338" s="263"/>
      <c r="N1338" s="203"/>
    </row>
    <row r="1339" spans="1:14" ht="51">
      <c r="A1339" s="257" t="s">
        <v>2508</v>
      </c>
      <c r="B1339" s="170" t="s">
        <v>2509</v>
      </c>
      <c r="C1339" s="186" t="s">
        <v>43</v>
      </c>
      <c r="D1339" s="186" t="s">
        <v>2510</v>
      </c>
      <c r="E1339" s="171" t="s">
        <v>144</v>
      </c>
      <c r="F1339" s="170">
        <v>766.13</v>
      </c>
      <c r="G1339" s="172"/>
      <c r="H1339" s="194"/>
      <c r="I1339" s="195"/>
      <c r="J1339" s="172"/>
      <c r="K1339" s="264"/>
      <c r="N1339" s="203"/>
    </row>
    <row r="1340" spans="1:14">
      <c r="A1340" s="257" t="s">
        <v>2511</v>
      </c>
      <c r="B1340" s="170" t="s">
        <v>2512</v>
      </c>
      <c r="C1340" s="186" t="s">
        <v>34</v>
      </c>
      <c r="D1340" s="186" t="s">
        <v>2513</v>
      </c>
      <c r="E1340" s="171" t="s">
        <v>2514</v>
      </c>
      <c r="F1340" s="170">
        <v>10</v>
      </c>
      <c r="G1340" s="172"/>
      <c r="H1340" s="194"/>
      <c r="I1340" s="195"/>
      <c r="J1340" s="172"/>
      <c r="K1340" s="264"/>
      <c r="N1340" s="203"/>
    </row>
    <row r="1341" spans="1:14">
      <c r="A1341" s="257" t="s">
        <v>2515</v>
      </c>
      <c r="B1341" s="170" t="s">
        <v>5707</v>
      </c>
      <c r="C1341" s="186" t="s">
        <v>34</v>
      </c>
      <c r="D1341" s="186" t="s">
        <v>2516</v>
      </c>
      <c r="E1341" s="171" t="s">
        <v>144</v>
      </c>
      <c r="F1341" s="170">
        <v>492.35</v>
      </c>
      <c r="G1341" s="172"/>
      <c r="H1341" s="194"/>
      <c r="I1341" s="195"/>
      <c r="J1341" s="172"/>
      <c r="K1341" s="264"/>
      <c r="N1341" s="203"/>
    </row>
    <row r="1342" spans="1:14">
      <c r="A1342" s="257" t="s">
        <v>2517</v>
      </c>
      <c r="B1342" s="170" t="s">
        <v>2518</v>
      </c>
      <c r="C1342" s="186" t="s">
        <v>34</v>
      </c>
      <c r="D1342" s="186" t="s">
        <v>2519</v>
      </c>
      <c r="E1342" s="171" t="s">
        <v>144</v>
      </c>
      <c r="F1342" s="170">
        <v>106.35</v>
      </c>
      <c r="G1342" s="172"/>
      <c r="H1342" s="194"/>
      <c r="I1342" s="195"/>
      <c r="J1342" s="172"/>
      <c r="K1342" s="264"/>
      <c r="N1342" s="203"/>
    </row>
    <row r="1343" spans="1:14" ht="25.5">
      <c r="A1343" s="257" t="s">
        <v>2520</v>
      </c>
      <c r="B1343" s="170" t="s">
        <v>2521</v>
      </c>
      <c r="C1343" s="186" t="s">
        <v>43</v>
      </c>
      <c r="D1343" s="186" t="s">
        <v>2522</v>
      </c>
      <c r="E1343" s="171" t="s">
        <v>36</v>
      </c>
      <c r="F1343" s="170">
        <v>22</v>
      </c>
      <c r="G1343" s="172"/>
      <c r="H1343" s="194"/>
      <c r="I1343" s="195"/>
      <c r="J1343" s="172"/>
      <c r="K1343" s="264"/>
      <c r="N1343" s="202"/>
    </row>
    <row r="1344" spans="1:14" ht="38.25">
      <c r="A1344" s="257" t="s">
        <v>2523</v>
      </c>
      <c r="B1344" s="170" t="s">
        <v>2524</v>
      </c>
      <c r="C1344" s="186" t="s">
        <v>43</v>
      </c>
      <c r="D1344" s="186" t="s">
        <v>2525</v>
      </c>
      <c r="E1344" s="171" t="s">
        <v>36</v>
      </c>
      <c r="F1344" s="170">
        <v>9</v>
      </c>
      <c r="G1344" s="172"/>
      <c r="H1344" s="194"/>
      <c r="I1344" s="195"/>
      <c r="J1344" s="172"/>
      <c r="K1344" s="264"/>
      <c r="N1344" s="203"/>
    </row>
    <row r="1345" spans="1:14">
      <c r="A1345" s="259" t="s">
        <v>2526</v>
      </c>
      <c r="B1345" s="187"/>
      <c r="C1345" s="187"/>
      <c r="D1345" s="187" t="s">
        <v>2527</v>
      </c>
      <c r="E1345" s="187"/>
      <c r="F1345" s="169"/>
      <c r="G1345" s="187"/>
      <c r="H1345" s="193"/>
      <c r="I1345" s="187"/>
      <c r="J1345" s="192"/>
      <c r="K1345" s="263"/>
      <c r="N1345" s="203"/>
    </row>
    <row r="1346" spans="1:14">
      <c r="A1346" s="257" t="s">
        <v>2528</v>
      </c>
      <c r="B1346" s="170" t="s">
        <v>2529</v>
      </c>
      <c r="C1346" s="186" t="s">
        <v>34</v>
      </c>
      <c r="D1346" s="186" t="s">
        <v>2530</v>
      </c>
      <c r="E1346" s="171" t="s">
        <v>36</v>
      </c>
      <c r="F1346" s="170">
        <v>1</v>
      </c>
      <c r="G1346" s="172"/>
      <c r="H1346" s="194"/>
      <c r="I1346" s="195"/>
      <c r="J1346" s="172"/>
      <c r="K1346" s="264"/>
      <c r="N1346" s="202"/>
    </row>
    <row r="1347" spans="1:14" ht="39.6" customHeight="1">
      <c r="A1347" s="257" t="s">
        <v>2531</v>
      </c>
      <c r="B1347" s="170" t="s">
        <v>2532</v>
      </c>
      <c r="C1347" s="186" t="s">
        <v>34</v>
      </c>
      <c r="D1347" s="186" t="s">
        <v>2533</v>
      </c>
      <c r="E1347" s="171" t="s">
        <v>36</v>
      </c>
      <c r="F1347" s="170">
        <v>1</v>
      </c>
      <c r="G1347" s="172"/>
      <c r="H1347" s="194"/>
      <c r="I1347" s="195"/>
      <c r="J1347" s="172"/>
      <c r="K1347" s="264"/>
      <c r="N1347" s="203"/>
    </row>
    <row r="1348" spans="1:14">
      <c r="A1348" s="259" t="s">
        <v>2534</v>
      </c>
      <c r="B1348" s="187"/>
      <c r="C1348" s="187"/>
      <c r="D1348" s="187" t="s">
        <v>2535</v>
      </c>
      <c r="E1348" s="187"/>
      <c r="F1348" s="169"/>
      <c r="G1348" s="187"/>
      <c r="H1348" s="193"/>
      <c r="I1348" s="187"/>
      <c r="J1348" s="192"/>
      <c r="K1348" s="263"/>
      <c r="N1348" s="203"/>
    </row>
    <row r="1349" spans="1:14" ht="38.25">
      <c r="A1349" s="257" t="s">
        <v>2536</v>
      </c>
      <c r="B1349" s="170" t="s">
        <v>976</v>
      </c>
      <c r="C1349" s="186" t="s">
        <v>43</v>
      </c>
      <c r="D1349" s="186" t="s">
        <v>977</v>
      </c>
      <c r="E1349" s="171" t="s">
        <v>45</v>
      </c>
      <c r="F1349" s="170">
        <v>739.3</v>
      </c>
      <c r="G1349" s="172"/>
      <c r="H1349" s="194"/>
      <c r="I1349" s="195"/>
      <c r="J1349" s="172"/>
      <c r="K1349" s="264"/>
      <c r="N1349" s="203"/>
    </row>
    <row r="1350" spans="1:14" ht="51">
      <c r="A1350" s="257" t="s">
        <v>2537</v>
      </c>
      <c r="B1350" s="170" t="s">
        <v>2538</v>
      </c>
      <c r="C1350" s="186" t="s">
        <v>43</v>
      </c>
      <c r="D1350" s="186" t="s">
        <v>2539</v>
      </c>
      <c r="E1350" s="171" t="s">
        <v>45</v>
      </c>
      <c r="F1350" s="170">
        <v>1478.59</v>
      </c>
      <c r="G1350" s="172"/>
      <c r="H1350" s="194"/>
      <c r="I1350" s="195"/>
      <c r="J1350" s="172"/>
      <c r="K1350" s="264"/>
      <c r="N1350" s="203"/>
    </row>
    <row r="1351" spans="1:14" ht="38.25">
      <c r="A1351" s="257" t="s">
        <v>2540</v>
      </c>
      <c r="B1351" s="170" t="s">
        <v>2541</v>
      </c>
      <c r="C1351" s="186" t="s">
        <v>43</v>
      </c>
      <c r="D1351" s="186" t="s">
        <v>2542</v>
      </c>
      <c r="E1351" s="171" t="s">
        <v>45</v>
      </c>
      <c r="F1351" s="170">
        <v>1478.59</v>
      </c>
      <c r="G1351" s="172"/>
      <c r="H1351" s="194"/>
      <c r="I1351" s="195"/>
      <c r="J1351" s="172"/>
      <c r="K1351" s="264"/>
      <c r="N1351" s="203"/>
    </row>
    <row r="1352" spans="1:14" ht="25.5">
      <c r="A1352" s="257" t="s">
        <v>2543</v>
      </c>
      <c r="B1352" s="170" t="s">
        <v>2544</v>
      </c>
      <c r="C1352" s="186" t="s">
        <v>43</v>
      </c>
      <c r="D1352" s="186" t="s">
        <v>2545</v>
      </c>
      <c r="E1352" s="171" t="s">
        <v>45</v>
      </c>
      <c r="F1352" s="170">
        <v>1478.59</v>
      </c>
      <c r="G1352" s="172"/>
      <c r="H1352" s="194"/>
      <c r="I1352" s="195"/>
      <c r="J1352" s="172"/>
      <c r="K1352" s="264"/>
      <c r="N1352" s="203"/>
    </row>
    <row r="1353" spans="1:14" ht="25.5">
      <c r="A1353" s="257" t="s">
        <v>2546</v>
      </c>
      <c r="B1353" s="170" t="s">
        <v>2547</v>
      </c>
      <c r="C1353" s="186" t="s">
        <v>43</v>
      </c>
      <c r="D1353" s="186" t="s">
        <v>2548</v>
      </c>
      <c r="E1353" s="171" t="s">
        <v>45</v>
      </c>
      <c r="F1353" s="170">
        <v>1293.95</v>
      </c>
      <c r="G1353" s="172"/>
      <c r="H1353" s="194"/>
      <c r="I1353" s="195"/>
      <c r="J1353" s="172"/>
      <c r="K1353" s="264"/>
      <c r="N1353" s="203"/>
    </row>
    <row r="1354" spans="1:14">
      <c r="A1354" s="257" t="s">
        <v>2549</v>
      </c>
      <c r="B1354" s="170" t="s">
        <v>2550</v>
      </c>
      <c r="C1354" s="186" t="s">
        <v>34</v>
      </c>
      <c r="D1354" s="186" t="s">
        <v>2551</v>
      </c>
      <c r="E1354" s="171" t="s">
        <v>276</v>
      </c>
      <c r="F1354" s="170">
        <v>484.68</v>
      </c>
      <c r="G1354" s="172"/>
      <c r="H1354" s="194"/>
      <c r="I1354" s="195"/>
      <c r="J1354" s="172"/>
      <c r="K1354" s="264"/>
      <c r="N1354" s="203"/>
    </row>
    <row r="1355" spans="1:14" ht="25.5">
      <c r="A1355" s="257" t="s">
        <v>2552</v>
      </c>
      <c r="B1355" s="170" t="s">
        <v>2553</v>
      </c>
      <c r="C1355" s="186" t="s">
        <v>34</v>
      </c>
      <c r="D1355" s="186" t="s">
        <v>2554</v>
      </c>
      <c r="E1355" s="171" t="s">
        <v>276</v>
      </c>
      <c r="F1355" s="170">
        <v>17.5</v>
      </c>
      <c r="G1355" s="172"/>
      <c r="H1355" s="194"/>
      <c r="I1355" s="195"/>
      <c r="J1355" s="172"/>
      <c r="K1355" s="264"/>
      <c r="N1355" s="203"/>
    </row>
    <row r="1356" spans="1:14" ht="25.5">
      <c r="A1356" s="257" t="s">
        <v>2555</v>
      </c>
      <c r="B1356" s="170" t="s">
        <v>2011</v>
      </c>
      <c r="C1356" s="186" t="s">
        <v>43</v>
      </c>
      <c r="D1356" s="186" t="s">
        <v>2012</v>
      </c>
      <c r="E1356" s="171" t="s">
        <v>80</v>
      </c>
      <c r="F1356" s="170">
        <v>1292.18</v>
      </c>
      <c r="G1356" s="172"/>
      <c r="H1356" s="194"/>
      <c r="I1356" s="195"/>
      <c r="J1356" s="172"/>
      <c r="K1356" s="264"/>
      <c r="N1356" s="203"/>
    </row>
    <row r="1357" spans="1:14" ht="38.25">
      <c r="A1357" s="257" t="s">
        <v>2556</v>
      </c>
      <c r="B1357" s="170" t="s">
        <v>78</v>
      </c>
      <c r="C1357" s="186" t="s">
        <v>43</v>
      </c>
      <c r="D1357" s="186" t="s">
        <v>79</v>
      </c>
      <c r="E1357" s="171" t="s">
        <v>80</v>
      </c>
      <c r="F1357" s="170">
        <v>129.27000000000001</v>
      </c>
      <c r="G1357" s="172"/>
      <c r="H1357" s="194"/>
      <c r="I1357" s="195"/>
      <c r="J1357" s="172"/>
      <c r="K1357" s="264"/>
      <c r="N1357" s="203"/>
    </row>
    <row r="1358" spans="1:14" ht="38.25">
      <c r="A1358" s="257" t="s">
        <v>2557</v>
      </c>
      <c r="B1358" s="170" t="s">
        <v>88</v>
      </c>
      <c r="C1358" s="186" t="s">
        <v>43</v>
      </c>
      <c r="D1358" s="186" t="s">
        <v>89</v>
      </c>
      <c r="E1358" s="171" t="s">
        <v>80</v>
      </c>
      <c r="F1358" s="170">
        <v>526.45000000000005</v>
      </c>
      <c r="G1358" s="172"/>
      <c r="H1358" s="194"/>
      <c r="I1358" s="195"/>
      <c r="J1358" s="172"/>
      <c r="K1358" s="264"/>
      <c r="N1358" s="203"/>
    </row>
    <row r="1359" spans="1:14" ht="25.5">
      <c r="A1359" s="257" t="s">
        <v>2558</v>
      </c>
      <c r="B1359" s="170" t="s">
        <v>1991</v>
      </c>
      <c r="C1359" s="186" t="s">
        <v>43</v>
      </c>
      <c r="D1359" s="186" t="s">
        <v>1992</v>
      </c>
      <c r="E1359" s="171" t="s">
        <v>80</v>
      </c>
      <c r="F1359" s="170">
        <v>352.36</v>
      </c>
      <c r="G1359" s="172"/>
      <c r="H1359" s="194"/>
      <c r="I1359" s="195"/>
      <c r="J1359" s="172"/>
      <c r="K1359" s="264"/>
      <c r="N1359" s="203"/>
    </row>
    <row r="1360" spans="1:14" ht="25.5">
      <c r="A1360" s="257" t="s">
        <v>2559</v>
      </c>
      <c r="B1360" s="170" t="s">
        <v>1982</v>
      </c>
      <c r="C1360" s="186" t="s">
        <v>43</v>
      </c>
      <c r="D1360" s="186" t="s">
        <v>1983</v>
      </c>
      <c r="E1360" s="171" t="s">
        <v>45</v>
      </c>
      <c r="F1360" s="170">
        <v>75.2</v>
      </c>
      <c r="G1360" s="172"/>
      <c r="H1360" s="194"/>
      <c r="I1360" s="195"/>
      <c r="J1360" s="172"/>
      <c r="K1360" s="264"/>
      <c r="N1360" s="203"/>
    </row>
    <row r="1361" spans="1:14" ht="38.25">
      <c r="A1361" s="257" t="s">
        <v>2560</v>
      </c>
      <c r="B1361" s="170" t="s">
        <v>1985</v>
      </c>
      <c r="C1361" s="186" t="s">
        <v>43</v>
      </c>
      <c r="D1361" s="186" t="s">
        <v>1986</v>
      </c>
      <c r="E1361" s="171" t="s">
        <v>45</v>
      </c>
      <c r="F1361" s="170">
        <v>330.3</v>
      </c>
      <c r="G1361" s="172"/>
      <c r="H1361" s="194"/>
      <c r="I1361" s="195"/>
      <c r="J1361" s="172"/>
      <c r="K1361" s="264"/>
      <c r="N1361" s="203"/>
    </row>
    <row r="1362" spans="1:14" ht="51">
      <c r="A1362" s="257" t="s">
        <v>2561</v>
      </c>
      <c r="B1362" s="170" t="s">
        <v>1988</v>
      </c>
      <c r="C1362" s="186" t="s">
        <v>43</v>
      </c>
      <c r="D1362" s="186" t="s">
        <v>1989</v>
      </c>
      <c r="E1362" s="171" t="s">
        <v>45</v>
      </c>
      <c r="F1362" s="170">
        <v>80.7</v>
      </c>
      <c r="G1362" s="172"/>
      <c r="H1362" s="194"/>
      <c r="I1362" s="195"/>
      <c r="J1362" s="172"/>
      <c r="K1362" s="264"/>
      <c r="N1362" s="203"/>
    </row>
    <row r="1363" spans="1:14" ht="25.5">
      <c r="A1363" s="257" t="s">
        <v>2562</v>
      </c>
      <c r="B1363" s="170" t="s">
        <v>2017</v>
      </c>
      <c r="C1363" s="186" t="s">
        <v>43</v>
      </c>
      <c r="D1363" s="186" t="s">
        <v>2018</v>
      </c>
      <c r="E1363" s="171" t="s">
        <v>126</v>
      </c>
      <c r="F1363" s="170">
        <v>15.4</v>
      </c>
      <c r="G1363" s="172"/>
      <c r="H1363" s="194"/>
      <c r="I1363" s="195"/>
      <c r="J1363" s="172"/>
      <c r="K1363" s="264"/>
      <c r="N1363" s="203"/>
    </row>
    <row r="1364" spans="1:14" ht="38.25">
      <c r="A1364" s="257" t="s">
        <v>2563</v>
      </c>
      <c r="B1364" s="170" t="s">
        <v>1979</v>
      </c>
      <c r="C1364" s="186" t="s">
        <v>43</v>
      </c>
      <c r="D1364" s="186" t="s">
        <v>1980</v>
      </c>
      <c r="E1364" s="171" t="s">
        <v>126</v>
      </c>
      <c r="F1364" s="170">
        <v>19.8</v>
      </c>
      <c r="G1364" s="172"/>
      <c r="H1364" s="194"/>
      <c r="I1364" s="195"/>
      <c r="J1364" s="172"/>
      <c r="K1364" s="264"/>
      <c r="N1364" s="203"/>
    </row>
    <row r="1365" spans="1:14" ht="38.25">
      <c r="A1365" s="257" t="s">
        <v>2564</v>
      </c>
      <c r="B1365" s="170" t="s">
        <v>124</v>
      </c>
      <c r="C1365" s="186" t="s">
        <v>34</v>
      </c>
      <c r="D1365" s="186" t="s">
        <v>125</v>
      </c>
      <c r="E1365" s="171" t="s">
        <v>126</v>
      </c>
      <c r="F1365" s="170">
        <v>43</v>
      </c>
      <c r="G1365" s="172"/>
      <c r="H1365" s="194"/>
      <c r="I1365" s="195"/>
      <c r="J1365" s="172"/>
      <c r="K1365" s="264"/>
      <c r="N1365" s="203"/>
    </row>
    <row r="1366" spans="1:14" ht="38.25">
      <c r="A1366" s="257" t="s">
        <v>2565</v>
      </c>
      <c r="B1366" s="170" t="s">
        <v>1970</v>
      </c>
      <c r="C1366" s="186" t="s">
        <v>43</v>
      </c>
      <c r="D1366" s="186" t="s">
        <v>1971</v>
      </c>
      <c r="E1366" s="171" t="s">
        <v>126</v>
      </c>
      <c r="F1366" s="170">
        <v>113.8</v>
      </c>
      <c r="G1366" s="172"/>
      <c r="H1366" s="194"/>
      <c r="I1366" s="195"/>
      <c r="J1366" s="172"/>
      <c r="K1366" s="264"/>
      <c r="N1366" s="203"/>
    </row>
    <row r="1367" spans="1:14" ht="38.25">
      <c r="A1367" s="257" t="s">
        <v>2566</v>
      </c>
      <c r="B1367" s="170" t="s">
        <v>1973</v>
      </c>
      <c r="C1367" s="186" t="s">
        <v>43</v>
      </c>
      <c r="D1367" s="186" t="s">
        <v>1974</v>
      </c>
      <c r="E1367" s="171" t="s">
        <v>126</v>
      </c>
      <c r="F1367" s="170">
        <v>69.040000000000006</v>
      </c>
      <c r="G1367" s="172"/>
      <c r="H1367" s="194"/>
      <c r="I1367" s="195"/>
      <c r="J1367" s="172"/>
      <c r="K1367" s="264"/>
      <c r="N1367" s="203"/>
    </row>
    <row r="1368" spans="1:14" ht="25.5">
      <c r="A1368" s="257" t="s">
        <v>2567</v>
      </c>
      <c r="B1368" s="170" t="s">
        <v>1976</v>
      </c>
      <c r="C1368" s="186" t="s">
        <v>43</v>
      </c>
      <c r="D1368" s="186" t="s">
        <v>1977</v>
      </c>
      <c r="E1368" s="171" t="s">
        <v>45</v>
      </c>
      <c r="F1368" s="170">
        <v>338.87</v>
      </c>
      <c r="G1368" s="172"/>
      <c r="H1368" s="194"/>
      <c r="I1368" s="195"/>
      <c r="J1368" s="172"/>
      <c r="K1368" s="264"/>
      <c r="N1368" s="203"/>
    </row>
    <row r="1369" spans="1:14" ht="25.5">
      <c r="A1369" s="257" t="s">
        <v>2568</v>
      </c>
      <c r="B1369" s="170" t="s">
        <v>201</v>
      </c>
      <c r="C1369" s="186" t="s">
        <v>43</v>
      </c>
      <c r="D1369" s="186" t="s">
        <v>202</v>
      </c>
      <c r="E1369" s="171" t="s">
        <v>45</v>
      </c>
      <c r="F1369" s="170">
        <v>629.17999999999995</v>
      </c>
      <c r="G1369" s="172"/>
      <c r="H1369" s="194"/>
      <c r="I1369" s="195"/>
      <c r="J1369" s="172"/>
      <c r="K1369" s="264"/>
      <c r="N1369" s="203"/>
    </row>
    <row r="1370" spans="1:14" ht="38.25">
      <c r="A1370" s="257" t="s">
        <v>2569</v>
      </c>
      <c r="B1370" s="170" t="s">
        <v>88</v>
      </c>
      <c r="C1370" s="186" t="s">
        <v>43</v>
      </c>
      <c r="D1370" s="186" t="s">
        <v>89</v>
      </c>
      <c r="E1370" s="171" t="s">
        <v>80</v>
      </c>
      <c r="F1370" s="170">
        <v>552.73</v>
      </c>
      <c r="G1370" s="172"/>
      <c r="H1370" s="194"/>
      <c r="I1370" s="195"/>
      <c r="J1370" s="172"/>
      <c r="K1370" s="264"/>
      <c r="N1370" s="203"/>
    </row>
    <row r="1371" spans="1:14" ht="38.25">
      <c r="A1371" s="257" t="s">
        <v>2570</v>
      </c>
      <c r="B1371" s="170" t="s">
        <v>78</v>
      </c>
      <c r="C1371" s="186" t="s">
        <v>43</v>
      </c>
      <c r="D1371" s="186" t="s">
        <v>79</v>
      </c>
      <c r="E1371" s="171" t="s">
        <v>80</v>
      </c>
      <c r="F1371" s="170">
        <v>765.81</v>
      </c>
      <c r="G1371" s="172"/>
      <c r="H1371" s="194"/>
      <c r="I1371" s="195"/>
      <c r="J1371" s="172"/>
      <c r="K1371" s="264"/>
      <c r="N1371" s="203"/>
    </row>
    <row r="1372" spans="1:14" ht="38.25">
      <c r="A1372" s="257" t="s">
        <v>2571</v>
      </c>
      <c r="B1372" s="170" t="s">
        <v>85</v>
      </c>
      <c r="C1372" s="186" t="s">
        <v>43</v>
      </c>
      <c r="D1372" s="186" t="s">
        <v>86</v>
      </c>
      <c r="E1372" s="171" t="s">
        <v>80</v>
      </c>
      <c r="F1372" s="170">
        <v>1185.18</v>
      </c>
      <c r="G1372" s="172"/>
      <c r="H1372" s="194"/>
      <c r="I1372" s="195"/>
      <c r="J1372" s="172"/>
      <c r="K1372" s="264"/>
      <c r="N1372" s="203"/>
    </row>
    <row r="1373" spans="1:14" ht="51">
      <c r="A1373" s="257" t="s">
        <v>2572</v>
      </c>
      <c r="B1373" s="170" t="s">
        <v>100</v>
      </c>
      <c r="C1373" s="186" t="s">
        <v>43</v>
      </c>
      <c r="D1373" s="186" t="s">
        <v>101</v>
      </c>
      <c r="E1373" s="171" t="s">
        <v>45</v>
      </c>
      <c r="F1373" s="170">
        <v>182.8</v>
      </c>
      <c r="G1373" s="172"/>
      <c r="H1373" s="194"/>
      <c r="I1373" s="195"/>
      <c r="J1373" s="172"/>
      <c r="K1373" s="264"/>
      <c r="N1373" s="203"/>
    </row>
    <row r="1374" spans="1:14" ht="38.25">
      <c r="A1374" s="257" t="s">
        <v>2573</v>
      </c>
      <c r="B1374" s="170" t="s">
        <v>103</v>
      </c>
      <c r="C1374" s="186" t="s">
        <v>43</v>
      </c>
      <c r="D1374" s="186" t="s">
        <v>104</v>
      </c>
      <c r="E1374" s="171" t="s">
        <v>45</v>
      </c>
      <c r="F1374" s="170">
        <v>510.6</v>
      </c>
      <c r="G1374" s="172"/>
      <c r="H1374" s="194"/>
      <c r="I1374" s="195"/>
      <c r="J1374" s="172"/>
      <c r="K1374" s="264"/>
      <c r="N1374" s="202"/>
    </row>
    <row r="1375" spans="1:14" ht="38.25">
      <c r="A1375" s="265" t="s">
        <v>5708</v>
      </c>
      <c r="B1375" s="198" t="s">
        <v>5709</v>
      </c>
      <c r="C1375" s="197" t="s">
        <v>43</v>
      </c>
      <c r="D1375" s="197" t="s">
        <v>5645</v>
      </c>
      <c r="E1375" s="199" t="s">
        <v>144</v>
      </c>
      <c r="F1375" s="198">
        <v>15</v>
      </c>
      <c r="G1375" s="195"/>
      <c r="H1375" s="194"/>
      <c r="I1375" s="195"/>
      <c r="J1375" s="195"/>
      <c r="K1375" s="264"/>
      <c r="N1375" s="203"/>
    </row>
    <row r="1376" spans="1:14">
      <c r="A1376" s="266" t="s">
        <v>2574</v>
      </c>
      <c r="B1376" s="193"/>
      <c r="C1376" s="193"/>
      <c r="D1376" s="193" t="s">
        <v>2575</v>
      </c>
      <c r="E1376" s="193"/>
      <c r="F1376" s="196"/>
      <c r="G1376" s="193"/>
      <c r="H1376" s="193"/>
      <c r="I1376" s="193"/>
      <c r="J1376" s="192"/>
      <c r="K1376" s="263"/>
      <c r="N1376" s="203"/>
    </row>
    <row r="1377" spans="1:14" ht="26.45" customHeight="1">
      <c r="A1377" s="257" t="s">
        <v>2576</v>
      </c>
      <c r="B1377" s="170" t="s">
        <v>2577</v>
      </c>
      <c r="C1377" s="186" t="s">
        <v>43</v>
      </c>
      <c r="D1377" s="186" t="s">
        <v>2578</v>
      </c>
      <c r="E1377" s="171" t="s">
        <v>36</v>
      </c>
      <c r="F1377" s="170">
        <v>1</v>
      </c>
      <c r="G1377" s="172"/>
      <c r="H1377" s="194"/>
      <c r="I1377" s="195"/>
      <c r="J1377" s="172"/>
      <c r="K1377" s="264"/>
      <c r="N1377" s="203"/>
    </row>
    <row r="1378" spans="1:14" ht="38.25">
      <c r="A1378" s="257" t="s">
        <v>2579</v>
      </c>
      <c r="B1378" s="170" t="s">
        <v>2580</v>
      </c>
      <c r="C1378" s="186" t="s">
        <v>43</v>
      </c>
      <c r="D1378" s="186" t="s">
        <v>2581</v>
      </c>
      <c r="E1378" s="171" t="s">
        <v>36</v>
      </c>
      <c r="F1378" s="170">
        <v>5</v>
      </c>
      <c r="G1378" s="172"/>
      <c r="H1378" s="194"/>
      <c r="I1378" s="195"/>
      <c r="J1378" s="172"/>
      <c r="K1378" s="264"/>
      <c r="N1378" s="203"/>
    </row>
    <row r="1379" spans="1:14" ht="25.5">
      <c r="A1379" s="257" t="s">
        <v>2582</v>
      </c>
      <c r="B1379" s="170" t="s">
        <v>2349</v>
      </c>
      <c r="C1379" s="186" t="s">
        <v>43</v>
      </c>
      <c r="D1379" s="186" t="s">
        <v>2350</v>
      </c>
      <c r="E1379" s="171" t="s">
        <v>36</v>
      </c>
      <c r="F1379" s="170">
        <v>1</v>
      </c>
      <c r="G1379" s="172"/>
      <c r="H1379" s="194"/>
      <c r="I1379" s="195"/>
      <c r="J1379" s="172"/>
      <c r="K1379" s="264"/>
      <c r="N1379" s="203"/>
    </row>
    <row r="1380" spans="1:14" ht="38.25">
      <c r="A1380" s="257" t="s">
        <v>2583</v>
      </c>
      <c r="B1380" s="170" t="s">
        <v>624</v>
      </c>
      <c r="C1380" s="186" t="s">
        <v>43</v>
      </c>
      <c r="D1380" s="186" t="s">
        <v>625</v>
      </c>
      <c r="E1380" s="171" t="s">
        <v>144</v>
      </c>
      <c r="F1380" s="170">
        <v>1.7</v>
      </c>
      <c r="G1380" s="172"/>
      <c r="H1380" s="194"/>
      <c r="I1380" s="195"/>
      <c r="J1380" s="172"/>
      <c r="K1380" s="264"/>
      <c r="N1380" s="203"/>
    </row>
    <row r="1381" spans="1:14" ht="38.25">
      <c r="A1381" s="257" t="s">
        <v>2584</v>
      </c>
      <c r="B1381" s="170" t="s">
        <v>2585</v>
      </c>
      <c r="C1381" s="186" t="s">
        <v>34</v>
      </c>
      <c r="D1381" s="186" t="s">
        <v>2586</v>
      </c>
      <c r="E1381" s="171" t="s">
        <v>144</v>
      </c>
      <c r="F1381" s="170">
        <v>5.2</v>
      </c>
      <c r="G1381" s="172"/>
      <c r="H1381" s="194"/>
      <c r="I1381" s="195"/>
      <c r="J1381" s="172"/>
      <c r="K1381" s="264"/>
      <c r="N1381" s="203"/>
    </row>
    <row r="1382" spans="1:14" ht="38.25">
      <c r="A1382" s="257" t="s">
        <v>2587</v>
      </c>
      <c r="B1382" s="170" t="s">
        <v>2588</v>
      </c>
      <c r="C1382" s="186" t="s">
        <v>43</v>
      </c>
      <c r="D1382" s="186" t="s">
        <v>2589</v>
      </c>
      <c r="E1382" s="171" t="s">
        <v>144</v>
      </c>
      <c r="F1382" s="170">
        <v>300</v>
      </c>
      <c r="G1382" s="172"/>
      <c r="H1382" s="194"/>
      <c r="I1382" s="195"/>
      <c r="J1382" s="172"/>
      <c r="K1382" s="264"/>
      <c r="N1382" s="203"/>
    </row>
    <row r="1383" spans="1:14" ht="38.25">
      <c r="A1383" s="257" t="s">
        <v>2590</v>
      </c>
      <c r="B1383" s="170" t="s">
        <v>2415</v>
      </c>
      <c r="C1383" s="186" t="s">
        <v>43</v>
      </c>
      <c r="D1383" s="186" t="s">
        <v>2416</v>
      </c>
      <c r="E1383" s="171" t="s">
        <v>144</v>
      </c>
      <c r="F1383" s="170">
        <v>19.5</v>
      </c>
      <c r="G1383" s="172"/>
      <c r="H1383" s="194"/>
      <c r="I1383" s="195"/>
      <c r="J1383" s="172"/>
      <c r="K1383" s="264"/>
      <c r="N1383" s="203"/>
    </row>
    <row r="1384" spans="1:14" ht="38.25">
      <c r="A1384" s="257" t="s">
        <v>2591</v>
      </c>
      <c r="B1384" s="170" t="s">
        <v>675</v>
      </c>
      <c r="C1384" s="186" t="s">
        <v>43</v>
      </c>
      <c r="D1384" s="186" t="s">
        <v>676</v>
      </c>
      <c r="E1384" s="171" t="s">
        <v>144</v>
      </c>
      <c r="F1384" s="170">
        <v>0.7</v>
      </c>
      <c r="G1384" s="172"/>
      <c r="H1384" s="194"/>
      <c r="I1384" s="195"/>
      <c r="J1384" s="172"/>
      <c r="K1384" s="264"/>
      <c r="N1384" s="203"/>
    </row>
    <row r="1385" spans="1:14" ht="38.25">
      <c r="A1385" s="257" t="s">
        <v>2592</v>
      </c>
      <c r="B1385" s="170" t="s">
        <v>663</v>
      </c>
      <c r="C1385" s="186" t="s">
        <v>43</v>
      </c>
      <c r="D1385" s="186" t="s">
        <v>664</v>
      </c>
      <c r="E1385" s="171" t="s">
        <v>144</v>
      </c>
      <c r="F1385" s="170">
        <v>200.1</v>
      </c>
      <c r="G1385" s="172"/>
      <c r="H1385" s="194"/>
      <c r="I1385" s="195"/>
      <c r="J1385" s="172"/>
      <c r="K1385" s="264"/>
      <c r="N1385" s="203"/>
    </row>
    <row r="1386" spans="1:14">
      <c r="A1386" s="257" t="s">
        <v>2593</v>
      </c>
      <c r="B1386" s="170" t="s">
        <v>2594</v>
      </c>
      <c r="C1386" s="186" t="s">
        <v>34</v>
      </c>
      <c r="D1386" s="186" t="s">
        <v>2595</v>
      </c>
      <c r="E1386" s="171" t="s">
        <v>144</v>
      </c>
      <c r="F1386" s="170">
        <v>46</v>
      </c>
      <c r="G1386" s="172"/>
      <c r="H1386" s="194"/>
      <c r="I1386" s="195"/>
      <c r="J1386" s="172"/>
      <c r="K1386" s="264"/>
      <c r="N1386" s="203"/>
    </row>
    <row r="1387" spans="1:14">
      <c r="A1387" s="257" t="s">
        <v>2596</v>
      </c>
      <c r="B1387" s="170" t="s">
        <v>2597</v>
      </c>
      <c r="C1387" s="186" t="s">
        <v>34</v>
      </c>
      <c r="D1387" s="186" t="s">
        <v>2598</v>
      </c>
      <c r="E1387" s="171" t="s">
        <v>144</v>
      </c>
      <c r="F1387" s="170">
        <v>35.4</v>
      </c>
      <c r="G1387" s="172"/>
      <c r="H1387" s="194"/>
      <c r="I1387" s="195"/>
      <c r="J1387" s="172"/>
      <c r="K1387" s="264"/>
      <c r="N1387" s="203"/>
    </row>
    <row r="1388" spans="1:14" ht="25.5">
      <c r="A1388" s="257" t="s">
        <v>2599</v>
      </c>
      <c r="B1388" s="170" t="s">
        <v>2600</v>
      </c>
      <c r="C1388" s="186" t="s">
        <v>43</v>
      </c>
      <c r="D1388" s="186" t="s">
        <v>2601</v>
      </c>
      <c r="E1388" s="171" t="s">
        <v>36</v>
      </c>
      <c r="F1388" s="170">
        <v>6</v>
      </c>
      <c r="G1388" s="172"/>
      <c r="H1388" s="194"/>
      <c r="I1388" s="195"/>
      <c r="J1388" s="172"/>
      <c r="K1388" s="264"/>
      <c r="N1388" s="203"/>
    </row>
    <row r="1389" spans="1:14">
      <c r="A1389" s="257" t="s">
        <v>2602</v>
      </c>
      <c r="B1389" s="170" t="s">
        <v>2603</v>
      </c>
      <c r="C1389" s="186" t="s">
        <v>34</v>
      </c>
      <c r="D1389" s="186" t="s">
        <v>2604</v>
      </c>
      <c r="E1389" s="171" t="s">
        <v>36</v>
      </c>
      <c r="F1389" s="170">
        <v>1</v>
      </c>
      <c r="G1389" s="172"/>
      <c r="H1389" s="194"/>
      <c r="I1389" s="195"/>
      <c r="J1389" s="172"/>
      <c r="K1389" s="264"/>
      <c r="N1389" s="203"/>
    </row>
    <row r="1390" spans="1:14" ht="25.5">
      <c r="A1390" s="257" t="s">
        <v>2605</v>
      </c>
      <c r="B1390" s="170" t="s">
        <v>2352</v>
      </c>
      <c r="C1390" s="186" t="s">
        <v>43</v>
      </c>
      <c r="D1390" s="186" t="s">
        <v>2353</v>
      </c>
      <c r="E1390" s="171" t="s">
        <v>36</v>
      </c>
      <c r="F1390" s="170">
        <v>138</v>
      </c>
      <c r="G1390" s="172"/>
      <c r="H1390" s="194"/>
      <c r="I1390" s="195"/>
      <c r="J1390" s="172"/>
      <c r="K1390" s="264"/>
      <c r="N1390" s="203"/>
    </row>
    <row r="1391" spans="1:14" ht="25.5">
      <c r="A1391" s="257" t="s">
        <v>2606</v>
      </c>
      <c r="B1391" s="170" t="s">
        <v>2607</v>
      </c>
      <c r="C1391" s="186" t="s">
        <v>43</v>
      </c>
      <c r="D1391" s="186" t="s">
        <v>2608</v>
      </c>
      <c r="E1391" s="171" t="s">
        <v>36</v>
      </c>
      <c r="F1391" s="170">
        <v>31</v>
      </c>
      <c r="G1391" s="172"/>
      <c r="H1391" s="194"/>
      <c r="I1391" s="195"/>
      <c r="J1391" s="172"/>
      <c r="K1391" s="264"/>
      <c r="N1391" s="203"/>
    </row>
    <row r="1392" spans="1:14" ht="25.5">
      <c r="A1392" s="257" t="s">
        <v>2609</v>
      </c>
      <c r="B1392" s="170" t="s">
        <v>539</v>
      </c>
      <c r="C1392" s="186" t="s">
        <v>43</v>
      </c>
      <c r="D1392" s="186" t="s">
        <v>540</v>
      </c>
      <c r="E1392" s="171" t="s">
        <v>36</v>
      </c>
      <c r="F1392" s="170">
        <v>73</v>
      </c>
      <c r="G1392" s="172"/>
      <c r="H1392" s="194"/>
      <c r="I1392" s="195"/>
      <c r="J1392" s="172"/>
      <c r="K1392" s="264"/>
      <c r="N1392" s="203"/>
    </row>
    <row r="1393" spans="1:14" ht="38.25">
      <c r="A1393" s="257" t="s">
        <v>2610</v>
      </c>
      <c r="B1393" s="170" t="s">
        <v>2611</v>
      </c>
      <c r="C1393" s="186" t="s">
        <v>43</v>
      </c>
      <c r="D1393" s="186" t="s">
        <v>2612</v>
      </c>
      <c r="E1393" s="171" t="s">
        <v>36</v>
      </c>
      <c r="F1393" s="170">
        <v>5</v>
      </c>
      <c r="G1393" s="172"/>
      <c r="H1393" s="194"/>
      <c r="I1393" s="195"/>
      <c r="J1393" s="172"/>
      <c r="K1393" s="264"/>
      <c r="N1393" s="203"/>
    </row>
    <row r="1394" spans="1:14" ht="38.25">
      <c r="A1394" s="257" t="s">
        <v>2613</v>
      </c>
      <c r="B1394" s="170" t="s">
        <v>2614</v>
      </c>
      <c r="C1394" s="186" t="s">
        <v>43</v>
      </c>
      <c r="D1394" s="186" t="s">
        <v>2615</v>
      </c>
      <c r="E1394" s="171" t="s">
        <v>36</v>
      </c>
      <c r="F1394" s="170">
        <v>114</v>
      </c>
      <c r="G1394" s="172"/>
      <c r="H1394" s="194"/>
      <c r="I1394" s="195"/>
      <c r="J1394" s="172"/>
      <c r="K1394" s="264"/>
      <c r="N1394" s="203"/>
    </row>
    <row r="1395" spans="1:14" ht="38.25">
      <c r="A1395" s="257" t="s">
        <v>2616</v>
      </c>
      <c r="B1395" s="170" t="s">
        <v>2617</v>
      </c>
      <c r="C1395" s="186" t="s">
        <v>43</v>
      </c>
      <c r="D1395" s="186" t="s">
        <v>2618</v>
      </c>
      <c r="E1395" s="171" t="s">
        <v>36</v>
      </c>
      <c r="F1395" s="170">
        <v>1</v>
      </c>
      <c r="G1395" s="172"/>
      <c r="H1395" s="194"/>
      <c r="I1395" s="195"/>
      <c r="J1395" s="172"/>
      <c r="K1395" s="264"/>
      <c r="N1395" s="203"/>
    </row>
    <row r="1396" spans="1:14" ht="39.6" customHeight="1">
      <c r="A1396" s="257" t="s">
        <v>2619</v>
      </c>
      <c r="B1396" s="170" t="s">
        <v>2620</v>
      </c>
      <c r="C1396" s="186" t="s">
        <v>43</v>
      </c>
      <c r="D1396" s="186" t="s">
        <v>2621</v>
      </c>
      <c r="E1396" s="171" t="s">
        <v>144</v>
      </c>
      <c r="F1396" s="170">
        <v>441</v>
      </c>
      <c r="G1396" s="172"/>
      <c r="H1396" s="194"/>
      <c r="I1396" s="195"/>
      <c r="J1396" s="172"/>
      <c r="K1396" s="264"/>
      <c r="N1396" s="203"/>
    </row>
    <row r="1397" spans="1:14">
      <c r="A1397" s="257" t="s">
        <v>2622</v>
      </c>
      <c r="B1397" s="170" t="s">
        <v>2623</v>
      </c>
      <c r="C1397" s="186" t="s">
        <v>34</v>
      </c>
      <c r="D1397" s="186" t="s">
        <v>2624</v>
      </c>
      <c r="E1397" s="171" t="s">
        <v>36</v>
      </c>
      <c r="F1397" s="170">
        <v>21</v>
      </c>
      <c r="G1397" s="172"/>
      <c r="H1397" s="194"/>
      <c r="I1397" s="195"/>
      <c r="J1397" s="172"/>
      <c r="K1397" s="264"/>
      <c r="N1397" s="203"/>
    </row>
    <row r="1398" spans="1:14" ht="38.25">
      <c r="A1398" s="257" t="s">
        <v>2625</v>
      </c>
      <c r="B1398" s="170" t="s">
        <v>696</v>
      </c>
      <c r="C1398" s="186" t="s">
        <v>43</v>
      </c>
      <c r="D1398" s="186" t="s">
        <v>697</v>
      </c>
      <c r="E1398" s="171" t="s">
        <v>36</v>
      </c>
      <c r="F1398" s="170">
        <v>6</v>
      </c>
      <c r="G1398" s="172"/>
      <c r="H1398" s="194"/>
      <c r="I1398" s="195"/>
      <c r="J1398" s="172"/>
      <c r="K1398" s="264"/>
      <c r="N1398" s="203"/>
    </row>
    <row r="1399" spans="1:14" ht="38.25">
      <c r="A1399" s="257" t="s">
        <v>2626</v>
      </c>
      <c r="B1399" s="170" t="s">
        <v>2627</v>
      </c>
      <c r="C1399" s="186" t="s">
        <v>43</v>
      </c>
      <c r="D1399" s="186" t="s">
        <v>2628</v>
      </c>
      <c r="E1399" s="171" t="s">
        <v>36</v>
      </c>
      <c r="F1399" s="170">
        <v>40</v>
      </c>
      <c r="G1399" s="172"/>
      <c r="H1399" s="194"/>
      <c r="I1399" s="195"/>
      <c r="J1399" s="172"/>
      <c r="K1399" s="264"/>
      <c r="N1399" s="203"/>
    </row>
    <row r="1400" spans="1:14">
      <c r="A1400" s="257" t="s">
        <v>2629</v>
      </c>
      <c r="B1400" s="170" t="s">
        <v>2630</v>
      </c>
      <c r="C1400" s="186" t="s">
        <v>43</v>
      </c>
      <c r="D1400" s="186" t="s">
        <v>2631</v>
      </c>
      <c r="E1400" s="171" t="s">
        <v>36</v>
      </c>
      <c r="F1400" s="170">
        <v>139</v>
      </c>
      <c r="G1400" s="172"/>
      <c r="H1400" s="194"/>
      <c r="I1400" s="195"/>
      <c r="J1400" s="172"/>
      <c r="K1400" s="264"/>
      <c r="N1400" s="203"/>
    </row>
    <row r="1401" spans="1:14" ht="38.25">
      <c r="A1401" s="257" t="s">
        <v>2632</v>
      </c>
      <c r="B1401" s="170" t="s">
        <v>624</v>
      </c>
      <c r="C1401" s="186" t="s">
        <v>43</v>
      </c>
      <c r="D1401" s="186" t="s">
        <v>625</v>
      </c>
      <c r="E1401" s="171" t="s">
        <v>144</v>
      </c>
      <c r="F1401" s="170">
        <v>33.1</v>
      </c>
      <c r="G1401" s="172"/>
      <c r="H1401" s="194"/>
      <c r="I1401" s="195"/>
      <c r="J1401" s="172"/>
      <c r="K1401" s="264"/>
      <c r="N1401" s="203"/>
    </row>
    <row r="1402" spans="1:14" ht="38.25">
      <c r="A1402" s="257" t="s">
        <v>2633</v>
      </c>
      <c r="B1402" s="170" t="s">
        <v>2634</v>
      </c>
      <c r="C1402" s="186" t="s">
        <v>43</v>
      </c>
      <c r="D1402" s="186" t="s">
        <v>2635</v>
      </c>
      <c r="E1402" s="171" t="s">
        <v>126</v>
      </c>
      <c r="F1402" s="170">
        <v>0.4</v>
      </c>
      <c r="G1402" s="172"/>
      <c r="H1402" s="194"/>
      <c r="I1402" s="195"/>
      <c r="J1402" s="172"/>
      <c r="K1402" s="264"/>
      <c r="N1402" s="203"/>
    </row>
    <row r="1403" spans="1:14" ht="38.25">
      <c r="A1403" s="257" t="s">
        <v>2636</v>
      </c>
      <c r="B1403" s="170" t="s">
        <v>669</v>
      </c>
      <c r="C1403" s="186" t="s">
        <v>43</v>
      </c>
      <c r="D1403" s="186" t="s">
        <v>670</v>
      </c>
      <c r="E1403" s="171" t="s">
        <v>144</v>
      </c>
      <c r="F1403" s="170">
        <v>17.100000000000001</v>
      </c>
      <c r="G1403" s="172"/>
      <c r="H1403" s="194"/>
      <c r="I1403" s="195"/>
      <c r="J1403" s="172"/>
      <c r="K1403" s="264"/>
      <c r="N1403" s="203"/>
    </row>
    <row r="1404" spans="1:14" ht="38.25">
      <c r="A1404" s="257" t="s">
        <v>2637</v>
      </c>
      <c r="B1404" s="170" t="s">
        <v>2638</v>
      </c>
      <c r="C1404" s="186" t="s">
        <v>43</v>
      </c>
      <c r="D1404" s="186" t="s">
        <v>2639</v>
      </c>
      <c r="E1404" s="171" t="s">
        <v>36</v>
      </c>
      <c r="F1404" s="170">
        <v>2</v>
      </c>
      <c r="G1404" s="172"/>
      <c r="H1404" s="194"/>
      <c r="I1404" s="195"/>
      <c r="J1404" s="172"/>
      <c r="K1404" s="264"/>
      <c r="N1404" s="203"/>
    </row>
    <row r="1405" spans="1:14" ht="38.25">
      <c r="A1405" s="257" t="s">
        <v>2640</v>
      </c>
      <c r="B1405" s="170" t="s">
        <v>663</v>
      </c>
      <c r="C1405" s="186" t="s">
        <v>43</v>
      </c>
      <c r="D1405" s="186" t="s">
        <v>664</v>
      </c>
      <c r="E1405" s="171" t="s">
        <v>144</v>
      </c>
      <c r="F1405" s="170">
        <v>303.8</v>
      </c>
      <c r="G1405" s="172"/>
      <c r="H1405" s="194"/>
      <c r="I1405" s="195"/>
      <c r="J1405" s="172"/>
      <c r="K1405" s="264"/>
      <c r="N1405" s="203"/>
    </row>
    <row r="1406" spans="1:14" ht="25.5">
      <c r="A1406" s="257" t="s">
        <v>2641</v>
      </c>
      <c r="B1406" s="170" t="s">
        <v>630</v>
      </c>
      <c r="C1406" s="186" t="s">
        <v>43</v>
      </c>
      <c r="D1406" s="186" t="s">
        <v>631</v>
      </c>
      <c r="E1406" s="171" t="s">
        <v>144</v>
      </c>
      <c r="F1406" s="170">
        <v>414.3</v>
      </c>
      <c r="G1406" s="172"/>
      <c r="H1406" s="194"/>
      <c r="I1406" s="195"/>
      <c r="J1406" s="172"/>
      <c r="K1406" s="264"/>
      <c r="N1406" s="203"/>
    </row>
    <row r="1407" spans="1:14" ht="38.25">
      <c r="A1407" s="257" t="s">
        <v>2642</v>
      </c>
      <c r="B1407" s="170" t="s">
        <v>2643</v>
      </c>
      <c r="C1407" s="186" t="s">
        <v>43</v>
      </c>
      <c r="D1407" s="186" t="s">
        <v>2644</v>
      </c>
      <c r="E1407" s="171" t="s">
        <v>144</v>
      </c>
      <c r="F1407" s="170">
        <v>3.5</v>
      </c>
      <c r="G1407" s="172"/>
      <c r="H1407" s="194"/>
      <c r="I1407" s="195"/>
      <c r="J1407" s="172"/>
      <c r="K1407" s="264"/>
      <c r="N1407" s="203"/>
    </row>
    <row r="1408" spans="1:14" ht="38.25">
      <c r="A1408" s="257" t="s">
        <v>2645</v>
      </c>
      <c r="B1408" s="170" t="s">
        <v>2646</v>
      </c>
      <c r="C1408" s="186" t="s">
        <v>43</v>
      </c>
      <c r="D1408" s="186" t="s">
        <v>2647</v>
      </c>
      <c r="E1408" s="171" t="s">
        <v>144</v>
      </c>
      <c r="F1408" s="170">
        <v>6.9</v>
      </c>
      <c r="G1408" s="172"/>
      <c r="H1408" s="194"/>
      <c r="I1408" s="195"/>
      <c r="J1408" s="172"/>
      <c r="K1408" s="264"/>
      <c r="N1408" s="203"/>
    </row>
    <row r="1409" spans="1:14" ht="38.25">
      <c r="A1409" s="257" t="s">
        <v>2648</v>
      </c>
      <c r="B1409" s="170" t="s">
        <v>2649</v>
      </c>
      <c r="C1409" s="186" t="s">
        <v>43</v>
      </c>
      <c r="D1409" s="186" t="s">
        <v>2650</v>
      </c>
      <c r="E1409" s="171" t="s">
        <v>144</v>
      </c>
      <c r="F1409" s="170">
        <v>7</v>
      </c>
      <c r="G1409" s="172"/>
      <c r="H1409" s="194"/>
      <c r="I1409" s="195"/>
      <c r="J1409" s="172"/>
      <c r="K1409" s="264"/>
      <c r="N1409" s="203"/>
    </row>
    <row r="1410" spans="1:14" ht="51">
      <c r="A1410" s="257" t="s">
        <v>2651</v>
      </c>
      <c r="B1410" s="170" t="s">
        <v>627</v>
      </c>
      <c r="C1410" s="186" t="s">
        <v>43</v>
      </c>
      <c r="D1410" s="186" t="s">
        <v>628</v>
      </c>
      <c r="E1410" s="171" t="s">
        <v>144</v>
      </c>
      <c r="F1410" s="170">
        <v>797</v>
      </c>
      <c r="G1410" s="172"/>
      <c r="H1410" s="194"/>
      <c r="I1410" s="195"/>
      <c r="J1410" s="172"/>
      <c r="K1410" s="264"/>
      <c r="N1410" s="203"/>
    </row>
    <row r="1411" spans="1:14" ht="25.5">
      <c r="A1411" s="257" t="s">
        <v>2652</v>
      </c>
      <c r="B1411" s="170" t="s">
        <v>5710</v>
      </c>
      <c r="C1411" s="186" t="s">
        <v>34</v>
      </c>
      <c r="D1411" s="186" t="s">
        <v>2653</v>
      </c>
      <c r="E1411" s="171" t="s">
        <v>36</v>
      </c>
      <c r="F1411" s="170">
        <v>30</v>
      </c>
      <c r="G1411" s="172"/>
      <c r="H1411" s="194"/>
      <c r="I1411" s="195"/>
      <c r="J1411" s="172"/>
      <c r="K1411" s="264"/>
      <c r="N1411" s="203"/>
    </row>
    <row r="1412" spans="1:14">
      <c r="A1412" s="257" t="s">
        <v>2654</v>
      </c>
      <c r="B1412" s="170" t="s">
        <v>2655</v>
      </c>
      <c r="C1412" s="186" t="s">
        <v>34</v>
      </c>
      <c r="D1412" s="186" t="s">
        <v>2656</v>
      </c>
      <c r="E1412" s="171" t="s">
        <v>36</v>
      </c>
      <c r="F1412" s="170">
        <v>51</v>
      </c>
      <c r="G1412" s="172"/>
      <c r="H1412" s="194"/>
      <c r="I1412" s="195"/>
      <c r="J1412" s="172"/>
      <c r="K1412" s="264"/>
      <c r="N1412" s="202"/>
    </row>
    <row r="1413" spans="1:14">
      <c r="A1413" s="265" t="s">
        <v>2657</v>
      </c>
      <c r="B1413" s="198" t="s">
        <v>2455</v>
      </c>
      <c r="C1413" s="197" t="s">
        <v>43</v>
      </c>
      <c r="D1413" s="197" t="s">
        <v>2456</v>
      </c>
      <c r="E1413" s="199" t="s">
        <v>126</v>
      </c>
      <c r="F1413" s="198">
        <v>53.07</v>
      </c>
      <c r="G1413" s="195"/>
      <c r="H1413" s="194"/>
      <c r="I1413" s="195"/>
      <c r="J1413" s="195"/>
      <c r="K1413" s="264"/>
      <c r="N1413" s="203"/>
    </row>
    <row r="1414" spans="1:14">
      <c r="A1414" s="266" t="s">
        <v>2658</v>
      </c>
      <c r="B1414" s="193"/>
      <c r="C1414" s="193"/>
      <c r="D1414" s="193" t="s">
        <v>2659</v>
      </c>
      <c r="E1414" s="193"/>
      <c r="F1414" s="196"/>
      <c r="G1414" s="193"/>
      <c r="H1414" s="193"/>
      <c r="I1414" s="193"/>
      <c r="J1414" s="192"/>
      <c r="K1414" s="263"/>
      <c r="N1414" s="203"/>
    </row>
    <row r="1415" spans="1:14" ht="25.5">
      <c r="A1415" s="257" t="s">
        <v>2660</v>
      </c>
      <c r="B1415" s="170" t="s">
        <v>2661</v>
      </c>
      <c r="C1415" s="186" t="s">
        <v>43</v>
      </c>
      <c r="D1415" s="186" t="s">
        <v>2662</v>
      </c>
      <c r="E1415" s="171" t="s">
        <v>144</v>
      </c>
      <c r="F1415" s="170">
        <v>790</v>
      </c>
      <c r="G1415" s="172"/>
      <c r="H1415" s="194"/>
      <c r="I1415" s="195"/>
      <c r="J1415" s="172"/>
      <c r="K1415" s="264"/>
      <c r="N1415" s="203"/>
    </row>
    <row r="1416" spans="1:14" ht="25.5">
      <c r="A1416" s="257" t="s">
        <v>2663</v>
      </c>
      <c r="B1416" s="170" t="s">
        <v>2664</v>
      </c>
      <c r="C1416" s="186" t="s">
        <v>43</v>
      </c>
      <c r="D1416" s="186" t="s">
        <v>2665</v>
      </c>
      <c r="E1416" s="171" t="s">
        <v>144</v>
      </c>
      <c r="F1416" s="170">
        <v>650</v>
      </c>
      <c r="G1416" s="172"/>
      <c r="H1416" s="194"/>
      <c r="I1416" s="195"/>
      <c r="J1416" s="172"/>
      <c r="K1416" s="264"/>
      <c r="N1416" s="203"/>
    </row>
    <row r="1417" spans="1:14" ht="25.5">
      <c r="A1417" s="257" t="s">
        <v>2666</v>
      </c>
      <c r="B1417" s="170" t="s">
        <v>2667</v>
      </c>
      <c r="C1417" s="186" t="s">
        <v>43</v>
      </c>
      <c r="D1417" s="186" t="s">
        <v>2668</v>
      </c>
      <c r="E1417" s="171" t="s">
        <v>36</v>
      </c>
      <c r="F1417" s="170">
        <v>98</v>
      </c>
      <c r="G1417" s="172"/>
      <c r="H1417" s="194"/>
      <c r="I1417" s="195"/>
      <c r="J1417" s="172"/>
      <c r="K1417" s="264"/>
      <c r="N1417" s="203"/>
    </row>
    <row r="1418" spans="1:14" ht="38.25">
      <c r="A1418" s="257" t="s">
        <v>2669</v>
      </c>
      <c r="B1418" s="170" t="s">
        <v>2670</v>
      </c>
      <c r="C1418" s="186" t="s">
        <v>43</v>
      </c>
      <c r="D1418" s="186" t="s">
        <v>2671</v>
      </c>
      <c r="E1418" s="171" t="s">
        <v>36</v>
      </c>
      <c r="F1418" s="170">
        <v>98</v>
      </c>
      <c r="G1418" s="172"/>
      <c r="H1418" s="194"/>
      <c r="I1418" s="195"/>
      <c r="J1418" s="172"/>
      <c r="K1418" s="264"/>
      <c r="N1418" s="203"/>
    </row>
    <row r="1419" spans="1:14" ht="25.5">
      <c r="A1419" s="257" t="s">
        <v>2672</v>
      </c>
      <c r="B1419" s="170" t="s">
        <v>2673</v>
      </c>
      <c r="C1419" s="186" t="s">
        <v>43</v>
      </c>
      <c r="D1419" s="186" t="s">
        <v>2674</v>
      </c>
      <c r="E1419" s="171" t="s">
        <v>36</v>
      </c>
      <c r="F1419" s="170">
        <v>174</v>
      </c>
      <c r="G1419" s="172"/>
      <c r="H1419" s="194"/>
      <c r="I1419" s="195"/>
      <c r="J1419" s="172"/>
      <c r="K1419" s="264"/>
      <c r="N1419" s="203"/>
    </row>
    <row r="1420" spans="1:14" ht="25.5">
      <c r="A1420" s="257" t="s">
        <v>2675</v>
      </c>
      <c r="B1420" s="170" t="s">
        <v>2048</v>
      </c>
      <c r="C1420" s="186" t="s">
        <v>43</v>
      </c>
      <c r="D1420" s="186" t="s">
        <v>2049</v>
      </c>
      <c r="E1420" s="171" t="s">
        <v>36</v>
      </c>
      <c r="F1420" s="170">
        <v>12</v>
      </c>
      <c r="G1420" s="172"/>
      <c r="H1420" s="194"/>
      <c r="I1420" s="195"/>
      <c r="J1420" s="172"/>
      <c r="K1420" s="264"/>
      <c r="N1420" s="203"/>
    </row>
    <row r="1421" spans="1:14">
      <c r="A1421" s="257" t="s">
        <v>2676</v>
      </c>
      <c r="B1421" s="170" t="s">
        <v>2677</v>
      </c>
      <c r="C1421" s="186" t="s">
        <v>43</v>
      </c>
      <c r="D1421" s="186" t="s">
        <v>2678</v>
      </c>
      <c r="E1421" s="171" t="s">
        <v>36</v>
      </c>
      <c r="F1421" s="170">
        <v>87</v>
      </c>
      <c r="G1421" s="172"/>
      <c r="H1421" s="194"/>
      <c r="I1421" s="195"/>
      <c r="J1421" s="172"/>
      <c r="K1421" s="264"/>
      <c r="N1421" s="203"/>
    </row>
    <row r="1422" spans="1:14" ht="25.5">
      <c r="A1422" s="257" t="s">
        <v>2679</v>
      </c>
      <c r="B1422" s="170" t="s">
        <v>2680</v>
      </c>
      <c r="C1422" s="186" t="s">
        <v>43</v>
      </c>
      <c r="D1422" s="186" t="s">
        <v>2681</v>
      </c>
      <c r="E1422" s="171" t="s">
        <v>36</v>
      </c>
      <c r="F1422" s="170">
        <v>70</v>
      </c>
      <c r="G1422" s="172"/>
      <c r="H1422" s="194"/>
      <c r="I1422" s="195"/>
      <c r="J1422" s="172"/>
      <c r="K1422" s="264"/>
      <c r="N1422" s="203"/>
    </row>
    <row r="1423" spans="1:14" ht="25.5">
      <c r="A1423" s="257" t="s">
        <v>2682</v>
      </c>
      <c r="B1423" s="170" t="s">
        <v>2683</v>
      </c>
      <c r="C1423" s="186" t="s">
        <v>34</v>
      </c>
      <c r="D1423" s="186" t="s">
        <v>2684</v>
      </c>
      <c r="E1423" s="171" t="s">
        <v>36</v>
      </c>
      <c r="F1423" s="170">
        <v>1</v>
      </c>
      <c r="G1423" s="172"/>
      <c r="H1423" s="194"/>
      <c r="I1423" s="195"/>
      <c r="J1423" s="172"/>
      <c r="K1423" s="264"/>
      <c r="N1423" s="203"/>
    </row>
    <row r="1424" spans="1:14" ht="25.5">
      <c r="A1424" s="257" t="s">
        <v>2685</v>
      </c>
      <c r="B1424" s="170" t="s">
        <v>2686</v>
      </c>
      <c r="C1424" s="186" t="s">
        <v>34</v>
      </c>
      <c r="D1424" s="186" t="s">
        <v>2687</v>
      </c>
      <c r="E1424" s="171" t="s">
        <v>36</v>
      </c>
      <c r="F1424" s="170">
        <v>1</v>
      </c>
      <c r="G1424" s="172"/>
      <c r="H1424" s="194"/>
      <c r="I1424" s="195"/>
      <c r="J1424" s="172"/>
      <c r="K1424" s="264"/>
      <c r="N1424" s="203"/>
    </row>
    <row r="1425" spans="1:14">
      <c r="A1425" s="257" t="s">
        <v>2688</v>
      </c>
      <c r="B1425" s="170" t="s">
        <v>2689</v>
      </c>
      <c r="C1425" s="186" t="s">
        <v>34</v>
      </c>
      <c r="D1425" s="186" t="s">
        <v>2690</v>
      </c>
      <c r="E1425" s="171" t="s">
        <v>36</v>
      </c>
      <c r="F1425" s="170">
        <v>98</v>
      </c>
      <c r="G1425" s="172"/>
      <c r="H1425" s="194"/>
      <c r="I1425" s="195"/>
      <c r="J1425" s="172"/>
      <c r="K1425" s="264"/>
      <c r="N1425" s="203"/>
    </row>
    <row r="1426" spans="1:14" ht="38.25">
      <c r="A1426" s="257" t="s">
        <v>2691</v>
      </c>
      <c r="B1426" s="170" t="s">
        <v>2692</v>
      </c>
      <c r="C1426" s="186" t="s">
        <v>34</v>
      </c>
      <c r="D1426" s="186" t="s">
        <v>2693</v>
      </c>
      <c r="E1426" s="171" t="s">
        <v>36</v>
      </c>
      <c r="F1426" s="170">
        <v>4</v>
      </c>
      <c r="G1426" s="172"/>
      <c r="H1426" s="194"/>
      <c r="I1426" s="195"/>
      <c r="J1426" s="172"/>
      <c r="K1426" s="264"/>
      <c r="N1426" s="203"/>
    </row>
    <row r="1427" spans="1:14" ht="25.5">
      <c r="A1427" s="257" t="s">
        <v>2694</v>
      </c>
      <c r="B1427" s="170" t="s">
        <v>2695</v>
      </c>
      <c r="C1427" s="186" t="s">
        <v>34</v>
      </c>
      <c r="D1427" s="186" t="s">
        <v>2696</v>
      </c>
      <c r="E1427" s="171" t="s">
        <v>36</v>
      </c>
      <c r="F1427" s="170">
        <v>70</v>
      </c>
      <c r="G1427" s="172"/>
      <c r="H1427" s="194"/>
      <c r="I1427" s="195"/>
      <c r="J1427" s="172"/>
      <c r="K1427" s="264"/>
      <c r="N1427" s="203"/>
    </row>
    <row r="1428" spans="1:14">
      <c r="A1428" s="257" t="s">
        <v>2697</v>
      </c>
      <c r="B1428" s="170" t="s">
        <v>2698</v>
      </c>
      <c r="C1428" s="186" t="s">
        <v>34</v>
      </c>
      <c r="D1428" s="186" t="s">
        <v>2699</v>
      </c>
      <c r="E1428" s="171" t="s">
        <v>144</v>
      </c>
      <c r="F1428" s="170">
        <v>50</v>
      </c>
      <c r="G1428" s="172"/>
      <c r="H1428" s="194"/>
      <c r="I1428" s="195"/>
      <c r="J1428" s="172"/>
      <c r="K1428" s="264"/>
      <c r="N1428" s="203"/>
    </row>
    <row r="1429" spans="1:14" ht="25.5">
      <c r="A1429" s="257" t="s">
        <v>2700</v>
      </c>
      <c r="B1429" s="170" t="s">
        <v>2701</v>
      </c>
      <c r="C1429" s="186" t="s">
        <v>34</v>
      </c>
      <c r="D1429" s="186" t="s">
        <v>2702</v>
      </c>
      <c r="E1429" s="171" t="s">
        <v>36</v>
      </c>
      <c r="F1429" s="170">
        <v>70</v>
      </c>
      <c r="G1429" s="172"/>
      <c r="H1429" s="194"/>
      <c r="I1429" s="195"/>
      <c r="J1429" s="172"/>
      <c r="K1429" s="264"/>
      <c r="N1429" s="203"/>
    </row>
    <row r="1430" spans="1:14">
      <c r="A1430" s="257" t="s">
        <v>2703</v>
      </c>
      <c r="B1430" s="170" t="s">
        <v>2704</v>
      </c>
      <c r="C1430" s="186" t="s">
        <v>34</v>
      </c>
      <c r="D1430" s="186" t="s">
        <v>2705</v>
      </c>
      <c r="E1430" s="171" t="s">
        <v>36</v>
      </c>
      <c r="F1430" s="170">
        <v>70</v>
      </c>
      <c r="G1430" s="172"/>
      <c r="H1430" s="194"/>
      <c r="I1430" s="195"/>
      <c r="J1430" s="172"/>
      <c r="K1430" s="264"/>
      <c r="N1430" s="202"/>
    </row>
    <row r="1431" spans="1:14">
      <c r="A1431" s="265" t="s">
        <v>2706</v>
      </c>
      <c r="B1431" s="198" t="s">
        <v>2707</v>
      </c>
      <c r="C1431" s="197" t="s">
        <v>34</v>
      </c>
      <c r="D1431" s="197" t="s">
        <v>2708</v>
      </c>
      <c r="E1431" s="199" t="s">
        <v>36</v>
      </c>
      <c r="F1431" s="198">
        <v>70</v>
      </c>
      <c r="G1431" s="195"/>
      <c r="H1431" s="194"/>
      <c r="I1431" s="195"/>
      <c r="J1431" s="195"/>
      <c r="K1431" s="264"/>
      <c r="N1431" s="202"/>
    </row>
    <row r="1432" spans="1:14">
      <c r="A1432" s="259" t="s">
        <v>1906</v>
      </c>
      <c r="B1432" s="187"/>
      <c r="C1432" s="187"/>
      <c r="D1432" s="187" t="s">
        <v>24</v>
      </c>
      <c r="E1432" s="187"/>
      <c r="F1432" s="169"/>
      <c r="G1432" s="187"/>
      <c r="H1432" s="193"/>
      <c r="I1432" s="187"/>
      <c r="J1432" s="192"/>
      <c r="K1432" s="263"/>
      <c r="N1432" s="203"/>
    </row>
    <row r="1433" spans="1:14">
      <c r="A1433" s="266" t="s">
        <v>2709</v>
      </c>
      <c r="B1433" s="193"/>
      <c r="C1433" s="193"/>
      <c r="D1433" s="193" t="s">
        <v>1965</v>
      </c>
      <c r="E1433" s="193"/>
      <c r="F1433" s="196"/>
      <c r="G1433" s="193"/>
      <c r="H1433" s="193"/>
      <c r="I1433" s="193"/>
      <c r="J1433" s="192"/>
      <c r="K1433" s="263"/>
      <c r="N1433" s="203"/>
    </row>
    <row r="1434" spans="1:14" ht="38.25">
      <c r="A1434" s="257" t="s">
        <v>2710</v>
      </c>
      <c r="B1434" s="170" t="s">
        <v>1970</v>
      </c>
      <c r="C1434" s="186" t="s">
        <v>43</v>
      </c>
      <c r="D1434" s="186" t="s">
        <v>1971</v>
      </c>
      <c r="E1434" s="171" t="s">
        <v>126</v>
      </c>
      <c r="F1434" s="170">
        <v>69.95</v>
      </c>
      <c r="G1434" s="172"/>
      <c r="H1434" s="194"/>
      <c r="I1434" s="195"/>
      <c r="J1434" s="172"/>
      <c r="K1434" s="264"/>
      <c r="N1434" s="203"/>
    </row>
    <row r="1435" spans="1:14" ht="38.25">
      <c r="A1435" s="257" t="s">
        <v>2711</v>
      </c>
      <c r="B1435" s="170" t="s">
        <v>1973</v>
      </c>
      <c r="C1435" s="186" t="s">
        <v>43</v>
      </c>
      <c r="D1435" s="186" t="s">
        <v>1974</v>
      </c>
      <c r="E1435" s="171" t="s">
        <v>126</v>
      </c>
      <c r="F1435" s="170">
        <v>22.23</v>
      </c>
      <c r="G1435" s="172"/>
      <c r="H1435" s="194"/>
      <c r="I1435" s="195"/>
      <c r="J1435" s="172"/>
      <c r="K1435" s="264"/>
      <c r="N1435" s="203"/>
    </row>
    <row r="1436" spans="1:14" ht="25.5">
      <c r="A1436" s="257" t="s">
        <v>2712</v>
      </c>
      <c r="B1436" s="170" t="s">
        <v>1976</v>
      </c>
      <c r="C1436" s="186" t="s">
        <v>43</v>
      </c>
      <c r="D1436" s="186" t="s">
        <v>1977</v>
      </c>
      <c r="E1436" s="171" t="s">
        <v>45</v>
      </c>
      <c r="F1436" s="170">
        <v>107.43</v>
      </c>
      <c r="G1436" s="172"/>
      <c r="H1436" s="194"/>
      <c r="I1436" s="195"/>
      <c r="J1436" s="172"/>
      <c r="K1436" s="264"/>
      <c r="N1436" s="203"/>
    </row>
    <row r="1437" spans="1:14" ht="38.25">
      <c r="A1437" s="257" t="s">
        <v>2713</v>
      </c>
      <c r="B1437" s="170" t="s">
        <v>1979</v>
      </c>
      <c r="C1437" s="186" t="s">
        <v>43</v>
      </c>
      <c r="D1437" s="186" t="s">
        <v>1980</v>
      </c>
      <c r="E1437" s="171" t="s">
        <v>126</v>
      </c>
      <c r="F1437" s="170">
        <v>8</v>
      </c>
      <c r="G1437" s="172"/>
      <c r="H1437" s="194"/>
      <c r="I1437" s="195"/>
      <c r="J1437" s="172"/>
      <c r="K1437" s="264"/>
      <c r="N1437" s="203"/>
    </row>
    <row r="1438" spans="1:14" ht="25.5">
      <c r="A1438" s="257" t="s">
        <v>2714</v>
      </c>
      <c r="B1438" s="170" t="s">
        <v>1982</v>
      </c>
      <c r="C1438" s="186" t="s">
        <v>43</v>
      </c>
      <c r="D1438" s="186" t="s">
        <v>1983</v>
      </c>
      <c r="E1438" s="171" t="s">
        <v>45</v>
      </c>
      <c r="F1438" s="170">
        <v>31.7</v>
      </c>
      <c r="G1438" s="172"/>
      <c r="H1438" s="194"/>
      <c r="I1438" s="195"/>
      <c r="J1438" s="172"/>
      <c r="K1438" s="264"/>
      <c r="N1438" s="203"/>
    </row>
    <row r="1439" spans="1:14" ht="38.25">
      <c r="A1439" s="257" t="s">
        <v>2715</v>
      </c>
      <c r="B1439" s="170" t="s">
        <v>1985</v>
      </c>
      <c r="C1439" s="186" t="s">
        <v>43</v>
      </c>
      <c r="D1439" s="186" t="s">
        <v>1986</v>
      </c>
      <c r="E1439" s="171" t="s">
        <v>45</v>
      </c>
      <c r="F1439" s="170">
        <v>133.1</v>
      </c>
      <c r="G1439" s="172"/>
      <c r="H1439" s="194"/>
      <c r="I1439" s="195"/>
      <c r="J1439" s="172"/>
      <c r="K1439" s="264"/>
      <c r="N1439" s="203"/>
    </row>
    <row r="1440" spans="1:14" ht="51">
      <c r="A1440" s="257" t="s">
        <v>2716</v>
      </c>
      <c r="B1440" s="170" t="s">
        <v>1988</v>
      </c>
      <c r="C1440" s="186" t="s">
        <v>43</v>
      </c>
      <c r="D1440" s="186" t="s">
        <v>1989</v>
      </c>
      <c r="E1440" s="171" t="s">
        <v>45</v>
      </c>
      <c r="F1440" s="170">
        <v>60.6</v>
      </c>
      <c r="G1440" s="172"/>
      <c r="H1440" s="194"/>
      <c r="I1440" s="195"/>
      <c r="J1440" s="172"/>
      <c r="K1440" s="264"/>
      <c r="N1440" s="203"/>
    </row>
    <row r="1441" spans="1:14" ht="25.5">
      <c r="A1441" s="257" t="s">
        <v>2717</v>
      </c>
      <c r="B1441" s="170" t="s">
        <v>1991</v>
      </c>
      <c r="C1441" s="186" t="s">
        <v>43</v>
      </c>
      <c r="D1441" s="186" t="s">
        <v>1992</v>
      </c>
      <c r="E1441" s="171" t="s">
        <v>80</v>
      </c>
      <c r="F1441" s="170">
        <v>144.46</v>
      </c>
      <c r="G1441" s="172"/>
      <c r="H1441" s="194"/>
      <c r="I1441" s="195"/>
      <c r="J1441" s="172"/>
      <c r="K1441" s="264"/>
      <c r="N1441" s="203"/>
    </row>
    <row r="1442" spans="1:14" ht="38.25">
      <c r="A1442" s="257" t="s">
        <v>2718</v>
      </c>
      <c r="B1442" s="170" t="s">
        <v>78</v>
      </c>
      <c r="C1442" s="186" t="s">
        <v>43</v>
      </c>
      <c r="D1442" s="186" t="s">
        <v>79</v>
      </c>
      <c r="E1442" s="171" t="s">
        <v>80</v>
      </c>
      <c r="F1442" s="170">
        <v>77.73</v>
      </c>
      <c r="G1442" s="172"/>
      <c r="H1442" s="194"/>
      <c r="I1442" s="195"/>
      <c r="J1442" s="172"/>
      <c r="K1442" s="264"/>
      <c r="N1442" s="203"/>
    </row>
    <row r="1443" spans="1:14" ht="38.25">
      <c r="A1443" s="257" t="s">
        <v>2719</v>
      </c>
      <c r="B1443" s="170" t="s">
        <v>88</v>
      </c>
      <c r="C1443" s="186" t="s">
        <v>43</v>
      </c>
      <c r="D1443" s="186" t="s">
        <v>89</v>
      </c>
      <c r="E1443" s="171" t="s">
        <v>80</v>
      </c>
      <c r="F1443" s="170">
        <v>302.73</v>
      </c>
      <c r="G1443" s="172"/>
      <c r="H1443" s="194"/>
      <c r="I1443" s="195"/>
      <c r="J1443" s="172"/>
      <c r="K1443" s="264"/>
      <c r="N1443" s="203"/>
    </row>
    <row r="1444" spans="1:14" ht="25.5">
      <c r="A1444" s="257" t="s">
        <v>2720</v>
      </c>
      <c r="B1444" s="170" t="s">
        <v>201</v>
      </c>
      <c r="C1444" s="186" t="s">
        <v>43</v>
      </c>
      <c r="D1444" s="186" t="s">
        <v>202</v>
      </c>
      <c r="E1444" s="171" t="s">
        <v>45</v>
      </c>
      <c r="F1444" s="170">
        <v>252.3</v>
      </c>
      <c r="G1444" s="172"/>
      <c r="H1444" s="194"/>
      <c r="I1444" s="195"/>
      <c r="J1444" s="172"/>
      <c r="K1444" s="264"/>
      <c r="N1444" s="203"/>
    </row>
    <row r="1445" spans="1:14" ht="25.5">
      <c r="A1445" s="257" t="s">
        <v>2721</v>
      </c>
      <c r="B1445" s="170" t="s">
        <v>2011</v>
      </c>
      <c r="C1445" s="186" t="s">
        <v>43</v>
      </c>
      <c r="D1445" s="186" t="s">
        <v>2012</v>
      </c>
      <c r="E1445" s="171" t="s">
        <v>80</v>
      </c>
      <c r="F1445" s="170">
        <v>534.37</v>
      </c>
      <c r="G1445" s="172"/>
      <c r="H1445" s="194"/>
      <c r="I1445" s="195"/>
      <c r="J1445" s="172"/>
      <c r="K1445" s="264"/>
      <c r="N1445" s="203"/>
    </row>
    <row r="1446" spans="1:14" ht="25.5">
      <c r="A1446" s="257" t="s">
        <v>2722</v>
      </c>
      <c r="B1446" s="170" t="s">
        <v>2014</v>
      </c>
      <c r="C1446" s="186" t="s">
        <v>43</v>
      </c>
      <c r="D1446" s="186" t="s">
        <v>2015</v>
      </c>
      <c r="E1446" s="171" t="s">
        <v>126</v>
      </c>
      <c r="F1446" s="170">
        <v>77.88</v>
      </c>
      <c r="G1446" s="172"/>
      <c r="H1446" s="194"/>
      <c r="I1446" s="195"/>
      <c r="J1446" s="172"/>
      <c r="K1446" s="264"/>
      <c r="N1446" s="203"/>
    </row>
    <row r="1447" spans="1:14" ht="25.5">
      <c r="A1447" s="257" t="s">
        <v>2723</v>
      </c>
      <c r="B1447" s="170" t="s">
        <v>2017</v>
      </c>
      <c r="C1447" s="186" t="s">
        <v>43</v>
      </c>
      <c r="D1447" s="186" t="s">
        <v>2018</v>
      </c>
      <c r="E1447" s="171" t="s">
        <v>126</v>
      </c>
      <c r="F1447" s="170">
        <v>6.3</v>
      </c>
      <c r="G1447" s="172"/>
      <c r="H1447" s="194"/>
      <c r="I1447" s="195"/>
      <c r="J1447" s="172"/>
      <c r="K1447" s="264"/>
      <c r="N1447" s="202"/>
    </row>
    <row r="1448" spans="1:14" ht="38.25">
      <c r="A1448" s="265" t="s">
        <v>2724</v>
      </c>
      <c r="B1448" s="198" t="s">
        <v>124</v>
      </c>
      <c r="C1448" s="197" t="s">
        <v>34</v>
      </c>
      <c r="D1448" s="197" t="s">
        <v>125</v>
      </c>
      <c r="E1448" s="199" t="s">
        <v>126</v>
      </c>
      <c r="F1448" s="198">
        <v>2.8</v>
      </c>
      <c r="G1448" s="195"/>
      <c r="H1448" s="194"/>
      <c r="I1448" s="195"/>
      <c r="J1448" s="195"/>
      <c r="K1448" s="264"/>
      <c r="N1448" s="202"/>
    </row>
    <row r="1449" spans="1:14">
      <c r="A1449" s="259" t="s">
        <v>25</v>
      </c>
      <c r="B1449" s="187"/>
      <c r="C1449" s="187"/>
      <c r="D1449" s="187" t="s">
        <v>26</v>
      </c>
      <c r="E1449" s="187"/>
      <c r="F1449" s="169"/>
      <c r="G1449" s="187"/>
      <c r="H1449" s="193"/>
      <c r="I1449" s="187"/>
      <c r="J1449" s="192"/>
      <c r="K1449" s="263"/>
      <c r="N1449" s="203"/>
    </row>
    <row r="1450" spans="1:14">
      <c r="A1450" s="266" t="s">
        <v>2725</v>
      </c>
      <c r="B1450" s="193"/>
      <c r="C1450" s="193"/>
      <c r="D1450" s="193" t="s">
        <v>1965</v>
      </c>
      <c r="E1450" s="193"/>
      <c r="F1450" s="196"/>
      <c r="G1450" s="193"/>
      <c r="H1450" s="193"/>
      <c r="I1450" s="193"/>
      <c r="J1450" s="192"/>
      <c r="K1450" s="263"/>
      <c r="N1450" s="203"/>
    </row>
    <row r="1451" spans="1:14" ht="38.25">
      <c r="A1451" s="257" t="s">
        <v>2726</v>
      </c>
      <c r="B1451" s="170" t="s">
        <v>1970</v>
      </c>
      <c r="C1451" s="186" t="s">
        <v>43</v>
      </c>
      <c r="D1451" s="186" t="s">
        <v>1971</v>
      </c>
      <c r="E1451" s="171" t="s">
        <v>126</v>
      </c>
      <c r="F1451" s="170">
        <v>45.88</v>
      </c>
      <c r="G1451" s="172"/>
      <c r="H1451" s="194"/>
      <c r="I1451" s="195"/>
      <c r="J1451" s="172"/>
      <c r="K1451" s="264"/>
      <c r="N1451" s="203"/>
    </row>
    <row r="1452" spans="1:14" ht="38.25">
      <c r="A1452" s="257" t="s">
        <v>2727</v>
      </c>
      <c r="B1452" s="170" t="s">
        <v>1973</v>
      </c>
      <c r="C1452" s="186" t="s">
        <v>43</v>
      </c>
      <c r="D1452" s="186" t="s">
        <v>1974</v>
      </c>
      <c r="E1452" s="171" t="s">
        <v>126</v>
      </c>
      <c r="F1452" s="170">
        <v>15.26</v>
      </c>
      <c r="G1452" s="172"/>
      <c r="H1452" s="194"/>
      <c r="I1452" s="195"/>
      <c r="J1452" s="172"/>
      <c r="K1452" s="264"/>
      <c r="N1452" s="203"/>
    </row>
    <row r="1453" spans="1:14" ht="25.5">
      <c r="A1453" s="257" t="s">
        <v>2728</v>
      </c>
      <c r="B1453" s="170" t="s">
        <v>1976</v>
      </c>
      <c r="C1453" s="186" t="s">
        <v>43</v>
      </c>
      <c r="D1453" s="186" t="s">
        <v>1977</v>
      </c>
      <c r="E1453" s="171" t="s">
        <v>45</v>
      </c>
      <c r="F1453" s="170">
        <v>85.45</v>
      </c>
      <c r="G1453" s="172"/>
      <c r="H1453" s="194"/>
      <c r="I1453" s="195"/>
      <c r="J1453" s="172"/>
      <c r="K1453" s="264"/>
      <c r="N1453" s="203"/>
    </row>
    <row r="1454" spans="1:14" ht="38.25">
      <c r="A1454" s="257" t="s">
        <v>2729</v>
      </c>
      <c r="B1454" s="170" t="s">
        <v>1979</v>
      </c>
      <c r="C1454" s="186" t="s">
        <v>43</v>
      </c>
      <c r="D1454" s="186" t="s">
        <v>1980</v>
      </c>
      <c r="E1454" s="171" t="s">
        <v>126</v>
      </c>
      <c r="F1454" s="170">
        <v>18.2</v>
      </c>
      <c r="G1454" s="172"/>
      <c r="H1454" s="194"/>
      <c r="I1454" s="195"/>
      <c r="J1454" s="172"/>
      <c r="K1454" s="264"/>
      <c r="N1454" s="203"/>
    </row>
    <row r="1455" spans="1:14" ht="25.5">
      <c r="A1455" s="257" t="s">
        <v>2730</v>
      </c>
      <c r="B1455" s="170" t="s">
        <v>1982</v>
      </c>
      <c r="C1455" s="186" t="s">
        <v>43</v>
      </c>
      <c r="D1455" s="186" t="s">
        <v>1983</v>
      </c>
      <c r="E1455" s="171" t="s">
        <v>45</v>
      </c>
      <c r="F1455" s="170">
        <v>29.3</v>
      </c>
      <c r="G1455" s="172"/>
      <c r="H1455" s="194"/>
      <c r="I1455" s="195"/>
      <c r="J1455" s="172"/>
      <c r="K1455" s="264"/>
      <c r="N1455" s="203"/>
    </row>
    <row r="1456" spans="1:14" ht="38.25">
      <c r="A1456" s="257" t="s">
        <v>2731</v>
      </c>
      <c r="B1456" s="170" t="s">
        <v>1985</v>
      </c>
      <c r="C1456" s="186" t="s">
        <v>43</v>
      </c>
      <c r="D1456" s="186" t="s">
        <v>1986</v>
      </c>
      <c r="E1456" s="171" t="s">
        <v>45</v>
      </c>
      <c r="F1456" s="170">
        <v>271.89999999999998</v>
      </c>
      <c r="G1456" s="172"/>
      <c r="H1456" s="194"/>
      <c r="I1456" s="195"/>
      <c r="J1456" s="172"/>
      <c r="K1456" s="264"/>
      <c r="N1456" s="203"/>
    </row>
    <row r="1457" spans="1:14" ht="51">
      <c r="A1457" s="257" t="s">
        <v>2732</v>
      </c>
      <c r="B1457" s="170" t="s">
        <v>1988</v>
      </c>
      <c r="C1457" s="186" t="s">
        <v>43</v>
      </c>
      <c r="D1457" s="186" t="s">
        <v>1989</v>
      </c>
      <c r="E1457" s="171" t="s">
        <v>45</v>
      </c>
      <c r="F1457" s="170">
        <v>209.9</v>
      </c>
      <c r="G1457" s="172"/>
      <c r="H1457" s="194"/>
      <c r="I1457" s="195"/>
      <c r="J1457" s="172"/>
      <c r="K1457" s="264"/>
      <c r="N1457" s="203"/>
    </row>
    <row r="1458" spans="1:14" ht="25.5">
      <c r="A1458" s="257" t="s">
        <v>2733</v>
      </c>
      <c r="B1458" s="170" t="s">
        <v>1991</v>
      </c>
      <c r="C1458" s="186" t="s">
        <v>43</v>
      </c>
      <c r="D1458" s="186" t="s">
        <v>1992</v>
      </c>
      <c r="E1458" s="171" t="s">
        <v>80</v>
      </c>
      <c r="F1458" s="170">
        <v>333.36</v>
      </c>
      <c r="G1458" s="172"/>
      <c r="H1458" s="194"/>
      <c r="I1458" s="195"/>
      <c r="J1458" s="172"/>
      <c r="K1458" s="264"/>
      <c r="N1458" s="203"/>
    </row>
    <row r="1459" spans="1:14" ht="38.25">
      <c r="A1459" s="257" t="s">
        <v>2734</v>
      </c>
      <c r="B1459" s="170" t="s">
        <v>78</v>
      </c>
      <c r="C1459" s="186" t="s">
        <v>43</v>
      </c>
      <c r="D1459" s="186" t="s">
        <v>79</v>
      </c>
      <c r="E1459" s="171" t="s">
        <v>80</v>
      </c>
      <c r="F1459" s="170">
        <v>236.73</v>
      </c>
      <c r="G1459" s="172"/>
      <c r="H1459" s="194"/>
      <c r="I1459" s="195"/>
      <c r="J1459" s="172"/>
      <c r="K1459" s="264"/>
      <c r="N1459" s="203"/>
    </row>
    <row r="1460" spans="1:14" ht="38.25">
      <c r="A1460" s="257" t="s">
        <v>2735</v>
      </c>
      <c r="B1460" s="170" t="s">
        <v>88</v>
      </c>
      <c r="C1460" s="186" t="s">
        <v>43</v>
      </c>
      <c r="D1460" s="186" t="s">
        <v>89</v>
      </c>
      <c r="E1460" s="171" t="s">
        <v>80</v>
      </c>
      <c r="F1460" s="170">
        <v>502.91</v>
      </c>
      <c r="G1460" s="172"/>
      <c r="H1460" s="194"/>
      <c r="I1460" s="195"/>
      <c r="J1460" s="172"/>
      <c r="K1460" s="264"/>
      <c r="N1460" s="203"/>
    </row>
    <row r="1461" spans="1:14" ht="38.25">
      <c r="A1461" s="257" t="s">
        <v>2736</v>
      </c>
      <c r="B1461" s="170" t="s">
        <v>91</v>
      </c>
      <c r="C1461" s="186" t="s">
        <v>43</v>
      </c>
      <c r="D1461" s="186" t="s">
        <v>92</v>
      </c>
      <c r="E1461" s="171" t="s">
        <v>80</v>
      </c>
      <c r="F1461" s="170">
        <v>297.64</v>
      </c>
      <c r="G1461" s="172"/>
      <c r="H1461" s="194"/>
      <c r="I1461" s="195"/>
      <c r="J1461" s="172"/>
      <c r="K1461" s="264"/>
      <c r="N1461" s="203"/>
    </row>
    <row r="1462" spans="1:14" ht="25.5">
      <c r="A1462" s="257" t="s">
        <v>2737</v>
      </c>
      <c r="B1462" s="170" t="s">
        <v>201</v>
      </c>
      <c r="C1462" s="186" t="s">
        <v>43</v>
      </c>
      <c r="D1462" s="186" t="s">
        <v>202</v>
      </c>
      <c r="E1462" s="171" t="s">
        <v>45</v>
      </c>
      <c r="F1462" s="170">
        <v>570.29999999999995</v>
      </c>
      <c r="G1462" s="172"/>
      <c r="H1462" s="194"/>
      <c r="I1462" s="195"/>
      <c r="J1462" s="172"/>
      <c r="K1462" s="264"/>
      <c r="N1462" s="203"/>
    </row>
    <row r="1463" spans="1:14" ht="25.5">
      <c r="A1463" s="257" t="s">
        <v>2738</v>
      </c>
      <c r="B1463" s="170" t="s">
        <v>2011</v>
      </c>
      <c r="C1463" s="186" t="s">
        <v>43</v>
      </c>
      <c r="D1463" s="186" t="s">
        <v>2012</v>
      </c>
      <c r="E1463" s="171" t="s">
        <v>80</v>
      </c>
      <c r="F1463" s="170">
        <v>788.55</v>
      </c>
      <c r="G1463" s="172"/>
      <c r="H1463" s="194"/>
      <c r="I1463" s="195"/>
      <c r="J1463" s="172"/>
      <c r="K1463" s="264"/>
      <c r="N1463" s="203"/>
    </row>
    <row r="1464" spans="1:14" ht="25.5">
      <c r="A1464" s="257" t="s">
        <v>2739</v>
      </c>
      <c r="B1464" s="170" t="s">
        <v>2000</v>
      </c>
      <c r="C1464" s="186" t="s">
        <v>43</v>
      </c>
      <c r="D1464" s="186" t="s">
        <v>2001</v>
      </c>
      <c r="E1464" s="171" t="s">
        <v>80</v>
      </c>
      <c r="F1464" s="170">
        <v>162.55000000000001</v>
      </c>
      <c r="G1464" s="172"/>
      <c r="H1464" s="194"/>
      <c r="I1464" s="195"/>
      <c r="J1464" s="172"/>
      <c r="K1464" s="264"/>
      <c r="N1464" s="203"/>
    </row>
    <row r="1465" spans="1:14" ht="25.5">
      <c r="A1465" s="257" t="s">
        <v>2740</v>
      </c>
      <c r="B1465" s="170" t="s">
        <v>2003</v>
      </c>
      <c r="C1465" s="186" t="s">
        <v>43</v>
      </c>
      <c r="D1465" s="186" t="s">
        <v>2004</v>
      </c>
      <c r="E1465" s="171" t="s">
        <v>80</v>
      </c>
      <c r="F1465" s="170">
        <v>101.83</v>
      </c>
      <c r="G1465" s="172"/>
      <c r="H1465" s="194"/>
      <c r="I1465" s="195"/>
      <c r="J1465" s="172"/>
      <c r="K1465" s="264"/>
      <c r="N1465" s="203"/>
    </row>
    <row r="1466" spans="1:14" ht="25.5">
      <c r="A1466" s="257" t="s">
        <v>2741</v>
      </c>
      <c r="B1466" s="170" t="s">
        <v>2014</v>
      </c>
      <c r="C1466" s="186" t="s">
        <v>43</v>
      </c>
      <c r="D1466" s="186" t="s">
        <v>2015</v>
      </c>
      <c r="E1466" s="171" t="s">
        <v>126</v>
      </c>
      <c r="F1466" s="170">
        <v>36.44</v>
      </c>
      <c r="G1466" s="172"/>
      <c r="H1466" s="194"/>
      <c r="I1466" s="195"/>
      <c r="J1466" s="172"/>
      <c r="K1466" s="264"/>
      <c r="N1466" s="203"/>
    </row>
    <row r="1467" spans="1:14" ht="25.5">
      <c r="A1467" s="257" t="s">
        <v>2742</v>
      </c>
      <c r="B1467" s="170" t="s">
        <v>2017</v>
      </c>
      <c r="C1467" s="186" t="s">
        <v>43</v>
      </c>
      <c r="D1467" s="186" t="s">
        <v>2018</v>
      </c>
      <c r="E1467" s="171" t="s">
        <v>126</v>
      </c>
      <c r="F1467" s="170">
        <v>6.5</v>
      </c>
      <c r="G1467" s="172"/>
      <c r="H1467" s="194"/>
      <c r="I1467" s="195"/>
      <c r="J1467" s="172"/>
      <c r="K1467" s="264"/>
      <c r="N1467" s="203"/>
    </row>
    <row r="1468" spans="1:14" ht="38.25">
      <c r="A1468" s="257" t="s">
        <v>2743</v>
      </c>
      <c r="B1468" s="170" t="s">
        <v>124</v>
      </c>
      <c r="C1468" s="186" t="s">
        <v>34</v>
      </c>
      <c r="D1468" s="186" t="s">
        <v>125</v>
      </c>
      <c r="E1468" s="171" t="s">
        <v>126</v>
      </c>
      <c r="F1468" s="170">
        <v>12.8</v>
      </c>
      <c r="G1468" s="172"/>
      <c r="H1468" s="194"/>
      <c r="I1468" s="195"/>
      <c r="J1468" s="172"/>
      <c r="K1468" s="264"/>
      <c r="N1468" s="202"/>
    </row>
    <row r="1469" spans="1:14" ht="38.25">
      <c r="A1469" s="265" t="s">
        <v>2744</v>
      </c>
      <c r="B1469" s="198" t="s">
        <v>2745</v>
      </c>
      <c r="C1469" s="197" t="s">
        <v>43</v>
      </c>
      <c r="D1469" s="197" t="s">
        <v>2746</v>
      </c>
      <c r="E1469" s="199" t="s">
        <v>126</v>
      </c>
      <c r="F1469" s="198">
        <v>31.92</v>
      </c>
      <c r="G1469" s="195"/>
      <c r="H1469" s="194"/>
      <c r="I1469" s="195"/>
      <c r="J1469" s="195"/>
      <c r="K1469" s="264"/>
      <c r="N1469" s="203"/>
    </row>
    <row r="1470" spans="1:14">
      <c r="A1470" s="266" t="s">
        <v>2747</v>
      </c>
      <c r="B1470" s="193"/>
      <c r="C1470" s="193"/>
      <c r="D1470" s="193" t="s">
        <v>76</v>
      </c>
      <c r="E1470" s="193"/>
      <c r="F1470" s="196"/>
      <c r="G1470" s="193"/>
      <c r="H1470" s="193"/>
      <c r="I1470" s="193"/>
      <c r="J1470" s="192"/>
      <c r="K1470" s="263"/>
      <c r="N1470" s="203"/>
    </row>
    <row r="1471" spans="1:14" ht="51">
      <c r="A1471" s="257" t="s">
        <v>2748</v>
      </c>
      <c r="B1471" s="170" t="s">
        <v>100</v>
      </c>
      <c r="C1471" s="186" t="s">
        <v>43</v>
      </c>
      <c r="D1471" s="186" t="s">
        <v>101</v>
      </c>
      <c r="E1471" s="171" t="s">
        <v>45</v>
      </c>
      <c r="F1471" s="170">
        <v>59</v>
      </c>
      <c r="G1471" s="172"/>
      <c r="H1471" s="194"/>
      <c r="I1471" s="195"/>
      <c r="J1471" s="172"/>
      <c r="K1471" s="264"/>
      <c r="N1471" s="203"/>
    </row>
    <row r="1472" spans="1:14" ht="38.25">
      <c r="A1472" s="257" t="s">
        <v>2749</v>
      </c>
      <c r="B1472" s="170" t="s">
        <v>78</v>
      </c>
      <c r="C1472" s="186" t="s">
        <v>43</v>
      </c>
      <c r="D1472" s="186" t="s">
        <v>79</v>
      </c>
      <c r="E1472" s="171" t="s">
        <v>80</v>
      </c>
      <c r="F1472" s="170">
        <v>191.55</v>
      </c>
      <c r="G1472" s="172"/>
      <c r="H1472" s="194"/>
      <c r="I1472" s="195"/>
      <c r="J1472" s="172"/>
      <c r="K1472" s="264"/>
      <c r="N1472" s="203"/>
    </row>
    <row r="1473" spans="1:14" ht="38.25">
      <c r="A1473" s="257" t="s">
        <v>2750</v>
      </c>
      <c r="B1473" s="170" t="s">
        <v>88</v>
      </c>
      <c r="C1473" s="186" t="s">
        <v>43</v>
      </c>
      <c r="D1473" s="186" t="s">
        <v>89</v>
      </c>
      <c r="E1473" s="171" t="s">
        <v>80</v>
      </c>
      <c r="F1473" s="170">
        <v>150.63999999999999</v>
      </c>
      <c r="G1473" s="172"/>
      <c r="H1473" s="194"/>
      <c r="I1473" s="195"/>
      <c r="J1473" s="172"/>
      <c r="K1473" s="264"/>
      <c r="N1473" s="203"/>
    </row>
    <row r="1474" spans="1:14" ht="38.25">
      <c r="A1474" s="257" t="s">
        <v>2751</v>
      </c>
      <c r="B1474" s="170" t="s">
        <v>91</v>
      </c>
      <c r="C1474" s="186" t="s">
        <v>43</v>
      </c>
      <c r="D1474" s="186" t="s">
        <v>92</v>
      </c>
      <c r="E1474" s="171" t="s">
        <v>80</v>
      </c>
      <c r="F1474" s="170">
        <v>377.84</v>
      </c>
      <c r="G1474" s="172"/>
      <c r="H1474" s="194"/>
      <c r="I1474" s="195"/>
      <c r="J1474" s="172"/>
      <c r="K1474" s="264"/>
      <c r="N1474" s="203"/>
    </row>
    <row r="1475" spans="1:14" ht="38.25">
      <c r="A1475" s="257" t="s">
        <v>2752</v>
      </c>
      <c r="B1475" s="170" t="s">
        <v>103</v>
      </c>
      <c r="C1475" s="186" t="s">
        <v>43</v>
      </c>
      <c r="D1475" s="186" t="s">
        <v>104</v>
      </c>
      <c r="E1475" s="171" t="s">
        <v>45</v>
      </c>
      <c r="F1475" s="170">
        <v>100.9</v>
      </c>
      <c r="G1475" s="172"/>
      <c r="H1475" s="194"/>
      <c r="I1475" s="195"/>
      <c r="J1475" s="172"/>
      <c r="K1475" s="264"/>
      <c r="N1475" s="203"/>
    </row>
    <row r="1476" spans="1:14" ht="38.25">
      <c r="A1476" s="257" t="s">
        <v>2753</v>
      </c>
      <c r="B1476" s="170" t="s">
        <v>85</v>
      </c>
      <c r="C1476" s="186" t="s">
        <v>43</v>
      </c>
      <c r="D1476" s="186" t="s">
        <v>86</v>
      </c>
      <c r="E1476" s="171" t="s">
        <v>80</v>
      </c>
      <c r="F1476" s="170">
        <v>124.09</v>
      </c>
      <c r="G1476" s="172"/>
      <c r="H1476" s="194"/>
      <c r="I1476" s="195"/>
      <c r="J1476" s="172"/>
      <c r="K1476" s="264"/>
      <c r="N1476" s="203"/>
    </row>
    <row r="1477" spans="1:14" ht="25.5">
      <c r="A1477" s="257" t="s">
        <v>2754</v>
      </c>
      <c r="B1477" s="170" t="s">
        <v>109</v>
      </c>
      <c r="C1477" s="186" t="s">
        <v>43</v>
      </c>
      <c r="D1477" s="186" t="s">
        <v>110</v>
      </c>
      <c r="E1477" s="171" t="s">
        <v>80</v>
      </c>
      <c r="F1477" s="170">
        <v>127</v>
      </c>
      <c r="G1477" s="172"/>
      <c r="H1477" s="194"/>
      <c r="I1477" s="195"/>
      <c r="J1477" s="172"/>
      <c r="K1477" s="264"/>
      <c r="N1477" s="203"/>
    </row>
    <row r="1478" spans="1:14" ht="25.5">
      <c r="A1478" s="257" t="s">
        <v>2755</v>
      </c>
      <c r="B1478" s="170" t="s">
        <v>118</v>
      </c>
      <c r="C1478" s="186" t="s">
        <v>43</v>
      </c>
      <c r="D1478" s="186" t="s">
        <v>119</v>
      </c>
      <c r="E1478" s="171" t="s">
        <v>80</v>
      </c>
      <c r="F1478" s="170">
        <v>197.82</v>
      </c>
      <c r="G1478" s="172"/>
      <c r="H1478" s="194"/>
      <c r="I1478" s="195"/>
      <c r="J1478" s="172"/>
      <c r="K1478" s="264"/>
      <c r="N1478" s="203"/>
    </row>
    <row r="1479" spans="1:14" ht="38.25">
      <c r="A1479" s="257" t="s">
        <v>2756</v>
      </c>
      <c r="B1479" s="170" t="s">
        <v>124</v>
      </c>
      <c r="C1479" s="186" t="s">
        <v>34</v>
      </c>
      <c r="D1479" s="186" t="s">
        <v>125</v>
      </c>
      <c r="E1479" s="171" t="s">
        <v>126</v>
      </c>
      <c r="F1479" s="170">
        <v>44.3</v>
      </c>
      <c r="G1479" s="172"/>
      <c r="H1479" s="194"/>
      <c r="I1479" s="195"/>
      <c r="J1479" s="172"/>
      <c r="K1479" s="264"/>
      <c r="N1479" s="203"/>
    </row>
    <row r="1480" spans="1:14" ht="38.25">
      <c r="A1480" s="257" t="s">
        <v>2757</v>
      </c>
      <c r="B1480" s="170" t="s">
        <v>1695</v>
      </c>
      <c r="C1480" s="186" t="s">
        <v>43</v>
      </c>
      <c r="D1480" s="186" t="s">
        <v>1696</v>
      </c>
      <c r="E1480" s="171" t="s">
        <v>45</v>
      </c>
      <c r="F1480" s="170">
        <v>144.1</v>
      </c>
      <c r="G1480" s="172"/>
      <c r="H1480" s="194"/>
      <c r="I1480" s="195"/>
      <c r="J1480" s="172"/>
      <c r="K1480" s="264"/>
      <c r="N1480" s="203"/>
    </row>
    <row r="1481" spans="1:14" ht="38.25">
      <c r="A1481" s="257" t="s">
        <v>2758</v>
      </c>
      <c r="B1481" s="170" t="s">
        <v>1679</v>
      </c>
      <c r="C1481" s="186" t="s">
        <v>43</v>
      </c>
      <c r="D1481" s="186" t="s">
        <v>1680</v>
      </c>
      <c r="E1481" s="171" t="s">
        <v>80</v>
      </c>
      <c r="F1481" s="170">
        <v>128.63999999999999</v>
      </c>
      <c r="G1481" s="172"/>
      <c r="H1481" s="194"/>
      <c r="I1481" s="195"/>
      <c r="J1481" s="172"/>
      <c r="K1481" s="264"/>
      <c r="N1481" s="203"/>
    </row>
    <row r="1482" spans="1:14" ht="38.25">
      <c r="A1482" s="257" t="s">
        <v>2759</v>
      </c>
      <c r="B1482" s="170" t="s">
        <v>1685</v>
      </c>
      <c r="C1482" s="186" t="s">
        <v>43</v>
      </c>
      <c r="D1482" s="186" t="s">
        <v>1686</v>
      </c>
      <c r="E1482" s="171" t="s">
        <v>80</v>
      </c>
      <c r="F1482" s="170">
        <v>206.46</v>
      </c>
      <c r="G1482" s="172"/>
      <c r="H1482" s="194"/>
      <c r="I1482" s="195"/>
      <c r="J1482" s="172"/>
      <c r="K1482" s="264"/>
      <c r="N1482" s="202"/>
    </row>
    <row r="1483" spans="1:14" ht="38.25">
      <c r="A1483" s="265" t="s">
        <v>2760</v>
      </c>
      <c r="B1483" s="198" t="s">
        <v>1688</v>
      </c>
      <c r="C1483" s="197" t="s">
        <v>43</v>
      </c>
      <c r="D1483" s="197" t="s">
        <v>1689</v>
      </c>
      <c r="E1483" s="199" t="s">
        <v>80</v>
      </c>
      <c r="F1483" s="198">
        <v>26.46</v>
      </c>
      <c r="G1483" s="195"/>
      <c r="H1483" s="194"/>
      <c r="I1483" s="195"/>
      <c r="J1483" s="195"/>
      <c r="K1483" s="264"/>
      <c r="N1483" s="202"/>
    </row>
    <row r="1484" spans="1:14">
      <c r="A1484" s="259" t="s">
        <v>27</v>
      </c>
      <c r="B1484" s="187"/>
      <c r="C1484" s="187"/>
      <c r="D1484" s="187" t="s">
        <v>28</v>
      </c>
      <c r="E1484" s="187"/>
      <c r="F1484" s="169"/>
      <c r="G1484" s="187"/>
      <c r="H1484" s="193"/>
      <c r="I1484" s="187"/>
      <c r="J1484" s="192"/>
      <c r="K1484" s="263"/>
      <c r="N1484" s="203"/>
    </row>
    <row r="1485" spans="1:14">
      <c r="A1485" s="266" t="s">
        <v>2761</v>
      </c>
      <c r="B1485" s="193"/>
      <c r="C1485" s="193"/>
      <c r="D1485" s="193" t="s">
        <v>28</v>
      </c>
      <c r="E1485" s="193"/>
      <c r="F1485" s="196"/>
      <c r="G1485" s="193"/>
      <c r="H1485" s="193"/>
      <c r="I1485" s="193"/>
      <c r="J1485" s="192"/>
      <c r="K1485" s="263"/>
      <c r="N1485" s="202"/>
    </row>
    <row r="1486" spans="1:14">
      <c r="A1486" s="265" t="s">
        <v>2762</v>
      </c>
      <c r="B1486" s="198" t="s">
        <v>2763</v>
      </c>
      <c r="C1486" s="197" t="s">
        <v>34</v>
      </c>
      <c r="D1486" s="197" t="s">
        <v>28</v>
      </c>
      <c r="E1486" s="199" t="s">
        <v>45</v>
      </c>
      <c r="F1486" s="198">
        <v>6108.31</v>
      </c>
      <c r="G1486" s="195"/>
      <c r="H1486" s="194"/>
      <c r="I1486" s="195"/>
      <c r="J1486" s="195"/>
      <c r="K1486" s="264"/>
      <c r="N1486" s="203"/>
    </row>
    <row r="1487" spans="1:14">
      <c r="A1487" s="266" t="s">
        <v>2764</v>
      </c>
      <c r="B1487" s="193"/>
      <c r="C1487" s="193"/>
      <c r="D1487" s="193" t="s">
        <v>29</v>
      </c>
      <c r="E1487" s="193"/>
      <c r="F1487" s="196"/>
      <c r="G1487" s="193"/>
      <c r="H1487" s="193"/>
      <c r="I1487" s="193"/>
      <c r="J1487" s="192"/>
      <c r="K1487" s="263"/>
      <c r="N1487" s="203"/>
    </row>
    <row r="1488" spans="1:14">
      <c r="A1488" s="257" t="s">
        <v>2765</v>
      </c>
      <c r="B1488" s="170" t="s">
        <v>2766</v>
      </c>
      <c r="C1488" s="186" t="s">
        <v>34</v>
      </c>
      <c r="D1488" s="186" t="s">
        <v>2767</v>
      </c>
      <c r="E1488" s="171" t="s">
        <v>36</v>
      </c>
      <c r="F1488" s="170">
        <v>1</v>
      </c>
      <c r="G1488" s="172"/>
      <c r="H1488" s="194"/>
      <c r="I1488" s="195"/>
      <c r="J1488" s="172"/>
      <c r="K1488" s="264"/>
      <c r="N1488" s="203"/>
    </row>
    <row r="1489" spans="1:14" ht="38.25">
      <c r="A1489" s="257" t="s">
        <v>2768</v>
      </c>
      <c r="B1489" s="170" t="s">
        <v>2769</v>
      </c>
      <c r="C1489" s="186" t="s">
        <v>43</v>
      </c>
      <c r="D1489" s="186" t="s">
        <v>2770</v>
      </c>
      <c r="E1489" s="171" t="s">
        <v>36</v>
      </c>
      <c r="F1489" s="170">
        <v>14</v>
      </c>
      <c r="G1489" s="172"/>
      <c r="H1489" s="194"/>
      <c r="I1489" s="195"/>
      <c r="J1489" s="172"/>
      <c r="K1489" s="264"/>
      <c r="N1489" s="288"/>
    </row>
    <row r="1490" spans="1:14" ht="38.25">
      <c r="A1490" s="265" t="s">
        <v>2771</v>
      </c>
      <c r="B1490" s="198" t="s">
        <v>1897</v>
      </c>
      <c r="C1490" s="197" t="s">
        <v>43</v>
      </c>
      <c r="D1490" s="197" t="s">
        <v>1898</v>
      </c>
      <c r="E1490" s="199" t="s">
        <v>36</v>
      </c>
      <c r="F1490" s="198">
        <v>16</v>
      </c>
      <c r="G1490" s="195"/>
      <c r="H1490" s="194"/>
      <c r="I1490" s="195"/>
      <c r="J1490" s="195"/>
      <c r="K1490" s="264"/>
      <c r="N1490" s="288"/>
    </row>
    <row r="1491" spans="1:14" ht="15.6" customHeight="1">
      <c r="A1491" s="267"/>
      <c r="B1491" s="268"/>
      <c r="C1491" s="268"/>
      <c r="D1491" s="268"/>
      <c r="E1491" s="268"/>
      <c r="F1491" s="269"/>
      <c r="G1491" s="269"/>
      <c r="H1491" s="269"/>
      <c r="I1491" s="269"/>
      <c r="J1491" s="270"/>
      <c r="K1491" s="271"/>
    </row>
    <row r="1492" spans="1:14" ht="46.9" customHeight="1">
      <c r="A1492" s="267"/>
      <c r="B1492" s="268"/>
      <c r="C1492" s="268"/>
      <c r="D1492" s="268"/>
      <c r="E1492" s="268"/>
      <c r="F1492" s="269"/>
      <c r="G1492" s="269"/>
      <c r="H1492" s="297" t="s">
        <v>5740</v>
      </c>
      <c r="I1492" s="297"/>
      <c r="J1492" s="272">
        <v>0</v>
      </c>
      <c r="K1492" s="273"/>
    </row>
    <row r="1493" spans="1:14">
      <c r="A1493" s="267"/>
      <c r="B1493" s="268"/>
      <c r="C1493" s="268"/>
      <c r="D1493" s="268"/>
      <c r="E1493" s="268"/>
      <c r="F1493" s="268"/>
      <c r="G1493" s="268"/>
      <c r="H1493" s="268"/>
      <c r="I1493" s="268"/>
      <c r="J1493" s="268"/>
      <c r="K1493" s="274"/>
    </row>
    <row r="1494" spans="1:14" ht="242.45" customHeight="1" thickBot="1">
      <c r="A1494" s="294" t="s">
        <v>5778</v>
      </c>
      <c r="B1494" s="295"/>
      <c r="C1494" s="295"/>
      <c r="D1494" s="295"/>
      <c r="E1494" s="295"/>
      <c r="F1494" s="295"/>
      <c r="G1494" s="295"/>
      <c r="H1494" s="295"/>
      <c r="I1494" s="295"/>
      <c r="J1494" s="295"/>
      <c r="K1494" s="296"/>
    </row>
    <row r="1495" spans="1:14" ht="15" thickTop="1"/>
    <row r="1552" ht="46.9" customHeight="1"/>
    <row r="1554" ht="96.6" customHeight="1"/>
    <row r="1555" ht="171.6" customHeight="1"/>
  </sheetData>
  <mergeCells count="17">
    <mergeCell ref="A1494:K1494"/>
    <mergeCell ref="G7:J7"/>
    <mergeCell ref="H1492:I1492"/>
    <mergeCell ref="B5:H5"/>
    <mergeCell ref="I5:J5"/>
    <mergeCell ref="B6:H6"/>
    <mergeCell ref="I6:J6"/>
    <mergeCell ref="A7:F9"/>
    <mergeCell ref="G8:J8"/>
    <mergeCell ref="G9:J9"/>
    <mergeCell ref="A1014:K1014"/>
    <mergeCell ref="A1:K1"/>
    <mergeCell ref="A2:J2"/>
    <mergeCell ref="B3:H3"/>
    <mergeCell ref="I3:J3"/>
    <mergeCell ref="B4:H4"/>
    <mergeCell ref="I4:J4"/>
  </mergeCells>
  <phoneticPr fontId="25" type="noConversion"/>
  <pageMargins left="0.51181102362204722" right="0.51181102362204722" top="0.78740157480314965" bottom="0.78740157480314965" header="0.51181102362204722" footer="0.51181102362204722"/>
  <pageSetup paperSize="9" scale="45" fitToHeight="1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337"/>
  <sheetViews>
    <sheetView topLeftCell="F2808" zoomScale="66" zoomScaleNormal="66" workbookViewId="0">
      <selection activeCell="H2119" sqref="H2119"/>
    </sheetView>
  </sheetViews>
  <sheetFormatPr defaultColWidth="7.625" defaultRowHeight="15" outlineLevelRow="2"/>
  <cols>
    <col min="1" max="4" width="7.625" style="2" hidden="1"/>
    <col min="5" max="5" width="12.75" style="3" hidden="1" customWidth="1"/>
    <col min="6" max="6" width="12.75" style="4" customWidth="1"/>
    <col min="7" max="7" width="13.25" style="4" customWidth="1"/>
    <col min="8" max="8" width="84.25" style="5" customWidth="1"/>
    <col min="9" max="9" width="12.25" style="6" customWidth="1"/>
    <col min="10" max="13" width="12.25" style="5" customWidth="1"/>
    <col min="14" max="14" width="12.25" style="4" customWidth="1"/>
    <col min="15" max="15" width="12.25" style="5" customWidth="1"/>
    <col min="16" max="16" width="13.125" style="2" customWidth="1"/>
    <col min="17" max="17" width="11" style="2" customWidth="1"/>
    <col min="18" max="19" width="10" style="2" customWidth="1"/>
    <col min="20" max="22" width="9" style="2" customWidth="1"/>
    <col min="23" max="23" width="10" style="2" customWidth="1"/>
    <col min="24" max="16384" width="7.625" style="2"/>
  </cols>
  <sheetData>
    <row r="1" spans="1:17" customFormat="1" ht="73.5" customHeight="1">
      <c r="A1" s="305"/>
      <c r="B1" s="305"/>
      <c r="C1" s="305"/>
      <c r="D1" s="305"/>
      <c r="E1" s="306"/>
      <c r="F1" s="306"/>
      <c r="G1" s="307"/>
      <c r="H1" s="307"/>
      <c r="I1" s="306"/>
      <c r="J1" s="306"/>
      <c r="N1" s="7"/>
    </row>
    <row r="2" spans="1:17" s="1" customFormat="1" ht="42.75" customHeight="1">
      <c r="A2" s="308" t="s">
        <v>2772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</row>
    <row r="3" spans="1:17">
      <c r="E3" s="8" t="s">
        <v>2773</v>
      </c>
      <c r="F3" s="9" t="s">
        <v>2773</v>
      </c>
      <c r="G3" s="10" t="s">
        <v>2774</v>
      </c>
      <c r="H3" s="10" t="s">
        <v>2775</v>
      </c>
      <c r="I3" s="10" t="s">
        <v>2776</v>
      </c>
      <c r="J3" s="10" t="s">
        <v>2777</v>
      </c>
      <c r="K3" s="10" t="s">
        <v>2778</v>
      </c>
      <c r="L3" s="10" t="s">
        <v>2779</v>
      </c>
      <c r="M3" s="10" t="s">
        <v>2780</v>
      </c>
      <c r="N3" s="10" t="s">
        <v>2781</v>
      </c>
      <c r="O3" s="11" t="s">
        <v>2782</v>
      </c>
      <c r="P3" s="304"/>
      <c r="Q3" s="304"/>
    </row>
    <row r="4" spans="1:17">
      <c r="E4" s="12">
        <v>1</v>
      </c>
      <c r="F4" s="13">
        <v>1</v>
      </c>
      <c r="G4" s="13"/>
      <c r="H4" s="14" t="s">
        <v>9</v>
      </c>
      <c r="I4" s="15"/>
      <c r="J4" s="16"/>
      <c r="K4" s="17"/>
      <c r="L4" s="16"/>
      <c r="M4" s="17"/>
      <c r="N4" s="18"/>
      <c r="O4" s="19"/>
      <c r="P4" s="185"/>
      <c r="Q4" s="185"/>
    </row>
    <row r="5" spans="1:17">
      <c r="E5" s="20" t="s">
        <v>32</v>
      </c>
      <c r="F5" s="21" t="s">
        <v>32</v>
      </c>
      <c r="G5" s="22">
        <v>1391</v>
      </c>
      <c r="H5" s="23" t="s">
        <v>9</v>
      </c>
      <c r="I5" s="24" t="s">
        <v>36</v>
      </c>
      <c r="J5" s="25"/>
      <c r="K5" s="25"/>
      <c r="L5" s="25"/>
      <c r="M5" s="25"/>
      <c r="N5" s="26">
        <v>1</v>
      </c>
      <c r="O5" s="27">
        <f>ROUND(PRODUCT(J5:N5),2)</f>
        <v>1</v>
      </c>
      <c r="P5" s="185"/>
      <c r="Q5" s="185"/>
    </row>
    <row r="6" spans="1:17">
      <c r="E6" s="12">
        <v>2</v>
      </c>
      <c r="F6" s="13">
        <v>2</v>
      </c>
      <c r="G6" s="13"/>
      <c r="H6" s="14" t="s">
        <v>11</v>
      </c>
      <c r="I6" s="15"/>
      <c r="J6" s="16"/>
      <c r="K6" s="17"/>
      <c r="L6" s="16"/>
      <c r="M6" s="17"/>
      <c r="N6" s="18"/>
      <c r="O6" s="19"/>
      <c r="P6" s="185"/>
      <c r="Q6" s="185"/>
    </row>
    <row r="7" spans="1:17">
      <c r="E7" s="20" t="s">
        <v>2783</v>
      </c>
      <c r="F7" s="21" t="s">
        <v>2784</v>
      </c>
      <c r="G7" s="22">
        <v>2277</v>
      </c>
      <c r="H7" s="23" t="s">
        <v>39</v>
      </c>
      <c r="I7" s="24" t="s">
        <v>36</v>
      </c>
      <c r="J7" s="25"/>
      <c r="K7" s="25"/>
      <c r="L7" s="25"/>
      <c r="M7" s="25"/>
      <c r="N7" s="26">
        <v>1</v>
      </c>
      <c r="O7" s="27">
        <f>ROUND(PRODUCT(J7:N7),2)</f>
        <v>1</v>
      </c>
      <c r="P7" s="185"/>
      <c r="Q7" s="185"/>
    </row>
    <row r="8" spans="1:17">
      <c r="E8" s="12">
        <v>3</v>
      </c>
      <c r="F8" s="13">
        <v>3</v>
      </c>
      <c r="G8" s="13"/>
      <c r="H8" s="14" t="s">
        <v>12</v>
      </c>
      <c r="I8" s="15"/>
      <c r="J8" s="16"/>
      <c r="K8" s="17"/>
      <c r="L8" s="16"/>
      <c r="M8" s="17"/>
      <c r="N8" s="18"/>
      <c r="O8" s="19"/>
      <c r="P8" s="185"/>
      <c r="Q8" s="185"/>
    </row>
    <row r="9" spans="1:17" ht="30">
      <c r="E9" s="20" t="s">
        <v>2785</v>
      </c>
      <c r="F9" s="21" t="s">
        <v>2786</v>
      </c>
      <c r="G9" s="22">
        <v>103689</v>
      </c>
      <c r="H9" s="23" t="s">
        <v>44</v>
      </c>
      <c r="I9" s="24" t="s">
        <v>45</v>
      </c>
      <c r="J9" s="25"/>
      <c r="K9" s="25">
        <v>3</v>
      </c>
      <c r="L9" s="25"/>
      <c r="M9" s="25">
        <v>5</v>
      </c>
      <c r="N9" s="26">
        <v>1</v>
      </c>
      <c r="O9" s="27">
        <f t="shared" ref="O9:O20" si="0">ROUND(PRODUCT(J9:N9),2)</f>
        <v>15</v>
      </c>
      <c r="P9" s="185"/>
      <c r="Q9" s="185"/>
    </row>
    <row r="10" spans="1:17" ht="30">
      <c r="E10" s="20" t="s">
        <v>2787</v>
      </c>
      <c r="F10" s="21" t="s">
        <v>2788</v>
      </c>
      <c r="G10" s="22">
        <v>344</v>
      </c>
      <c r="H10" s="23" t="s">
        <v>2789</v>
      </c>
      <c r="I10" s="24" t="s">
        <v>36</v>
      </c>
      <c r="J10" s="25"/>
      <c r="K10" s="25"/>
      <c r="L10" s="25"/>
      <c r="M10" s="25"/>
      <c r="N10" s="26">
        <v>1</v>
      </c>
      <c r="O10" s="27">
        <f t="shared" si="0"/>
        <v>1</v>
      </c>
      <c r="P10" s="185"/>
      <c r="Q10" s="185"/>
    </row>
    <row r="11" spans="1:17">
      <c r="E11" s="20" t="s">
        <v>2790</v>
      </c>
      <c r="F11" s="21" t="s">
        <v>2790</v>
      </c>
      <c r="G11" s="22">
        <v>345</v>
      </c>
      <c r="H11" s="23" t="s">
        <v>2791</v>
      </c>
      <c r="I11" s="24" t="s">
        <v>36</v>
      </c>
      <c r="J11" s="25"/>
      <c r="K11" s="25"/>
      <c r="L11" s="25"/>
      <c r="M11" s="25"/>
      <c r="N11" s="26">
        <v>1</v>
      </c>
      <c r="O11" s="27">
        <f t="shared" si="0"/>
        <v>1</v>
      </c>
      <c r="P11" s="185"/>
      <c r="Q11" s="185"/>
    </row>
    <row r="12" spans="1:17">
      <c r="E12" s="20" t="s">
        <v>2792</v>
      </c>
      <c r="F12" s="21" t="s">
        <v>2792</v>
      </c>
      <c r="G12" s="22" t="s">
        <v>1917</v>
      </c>
      <c r="H12" s="23" t="s">
        <v>1918</v>
      </c>
      <c r="I12" s="24" t="s">
        <v>45</v>
      </c>
      <c r="J12" s="25"/>
      <c r="K12" s="25"/>
      <c r="L12" s="25"/>
      <c r="M12" s="25">
        <v>2</v>
      </c>
      <c r="N12" s="26"/>
      <c r="O12" s="27">
        <f t="shared" si="0"/>
        <v>2</v>
      </c>
      <c r="P12" s="185"/>
      <c r="Q12" s="185"/>
    </row>
    <row r="13" spans="1:17" ht="30">
      <c r="E13" s="20" t="s">
        <v>2793</v>
      </c>
      <c r="F13" s="21" t="s">
        <v>2793</v>
      </c>
      <c r="G13" s="22">
        <v>962</v>
      </c>
      <c r="H13" s="23" t="s">
        <v>54</v>
      </c>
      <c r="I13" s="24" t="s">
        <v>45</v>
      </c>
      <c r="J13" s="25"/>
      <c r="K13" s="25">
        <v>10</v>
      </c>
      <c r="L13" s="25">
        <v>5</v>
      </c>
      <c r="M13" s="25"/>
      <c r="N13" s="26"/>
      <c r="O13" s="27">
        <f t="shared" si="0"/>
        <v>50</v>
      </c>
      <c r="P13" s="185"/>
      <c r="Q13" s="185"/>
    </row>
    <row r="14" spans="1:17" ht="45">
      <c r="E14" s="20" t="s">
        <v>2794</v>
      </c>
      <c r="F14" s="21" t="s">
        <v>2794</v>
      </c>
      <c r="G14" s="22">
        <v>10775</v>
      </c>
      <c r="H14" s="23" t="s">
        <v>57</v>
      </c>
      <c r="I14" s="24" t="s">
        <v>58</v>
      </c>
      <c r="J14" s="25"/>
      <c r="K14" s="25"/>
      <c r="L14" s="25"/>
      <c r="M14" s="25"/>
      <c r="N14" s="26">
        <v>10</v>
      </c>
      <c r="O14" s="27">
        <f t="shared" si="0"/>
        <v>10</v>
      </c>
      <c r="P14" s="185"/>
      <c r="Q14" s="185"/>
    </row>
    <row r="15" spans="1:17" ht="45">
      <c r="E15" s="20" t="s">
        <v>2795</v>
      </c>
      <c r="F15" s="21" t="s">
        <v>2795</v>
      </c>
      <c r="G15" s="22">
        <v>1637</v>
      </c>
      <c r="H15" s="23" t="s">
        <v>2796</v>
      </c>
      <c r="I15" s="24" t="s">
        <v>45</v>
      </c>
      <c r="J15" s="25"/>
      <c r="K15" s="25"/>
      <c r="L15" s="25"/>
      <c r="M15" s="25"/>
      <c r="N15" s="26">
        <v>60</v>
      </c>
      <c r="O15" s="27">
        <f t="shared" si="0"/>
        <v>60</v>
      </c>
      <c r="P15" s="185"/>
      <c r="Q15" s="185"/>
    </row>
    <row r="16" spans="1:17" ht="30">
      <c r="E16" s="20" t="s">
        <v>2797</v>
      </c>
      <c r="F16" s="21" t="s">
        <v>2797</v>
      </c>
      <c r="G16" s="22">
        <v>362</v>
      </c>
      <c r="H16" s="23" t="s">
        <v>62</v>
      </c>
      <c r="I16" s="24" t="s">
        <v>2798</v>
      </c>
      <c r="J16" s="25"/>
      <c r="K16" s="25">
        <v>10</v>
      </c>
      <c r="L16" s="25">
        <v>5</v>
      </c>
      <c r="M16" s="25"/>
      <c r="N16" s="26"/>
      <c r="O16" s="27">
        <f t="shared" si="0"/>
        <v>50</v>
      </c>
      <c r="P16" s="185"/>
      <c r="Q16" s="185"/>
    </row>
    <row r="17" spans="1:17" ht="30">
      <c r="E17" s="20" t="s">
        <v>2799</v>
      </c>
      <c r="F17" s="21" t="s">
        <v>2799</v>
      </c>
      <c r="G17" s="22">
        <v>347</v>
      </c>
      <c r="H17" s="23" t="s">
        <v>2800</v>
      </c>
      <c r="I17" s="24" t="s">
        <v>2798</v>
      </c>
      <c r="J17" s="25"/>
      <c r="K17" s="25">
        <v>10</v>
      </c>
      <c r="L17" s="25">
        <v>5</v>
      </c>
      <c r="M17" s="25"/>
      <c r="N17" s="26"/>
      <c r="O17" s="27">
        <f t="shared" si="0"/>
        <v>50</v>
      </c>
      <c r="P17" s="185"/>
      <c r="Q17" s="185"/>
    </row>
    <row r="18" spans="1:17" ht="30">
      <c r="E18" s="20" t="s">
        <v>2801</v>
      </c>
      <c r="F18" s="21" t="s">
        <v>2801</v>
      </c>
      <c r="G18" s="22">
        <v>355</v>
      </c>
      <c r="H18" s="23" t="s">
        <v>2802</v>
      </c>
      <c r="I18" s="24" t="s">
        <v>2798</v>
      </c>
      <c r="J18" s="25"/>
      <c r="K18" s="25">
        <v>4</v>
      </c>
      <c r="L18" s="25">
        <v>5</v>
      </c>
      <c r="M18" s="25"/>
      <c r="N18" s="26"/>
      <c r="O18" s="27">
        <f t="shared" si="0"/>
        <v>20</v>
      </c>
      <c r="P18" s="185"/>
      <c r="Q18" s="185"/>
    </row>
    <row r="19" spans="1:17">
      <c r="E19" s="20" t="s">
        <v>2803</v>
      </c>
      <c r="F19" s="21" t="s">
        <v>2803</v>
      </c>
      <c r="G19" s="22">
        <v>2279</v>
      </c>
      <c r="H19" s="23" t="s">
        <v>2804</v>
      </c>
      <c r="I19" s="24" t="s">
        <v>36</v>
      </c>
      <c r="J19" s="25"/>
      <c r="K19" s="25"/>
      <c r="L19" s="25"/>
      <c r="M19" s="25"/>
      <c r="N19" s="26">
        <v>1</v>
      </c>
      <c r="O19" s="27">
        <f t="shared" si="0"/>
        <v>1</v>
      </c>
      <c r="P19" s="28"/>
      <c r="Q19" s="185"/>
    </row>
    <row r="20" spans="1:17">
      <c r="E20" s="20" t="s">
        <v>2805</v>
      </c>
      <c r="F20" s="21" t="s">
        <v>2805</v>
      </c>
      <c r="G20" s="22">
        <v>2280</v>
      </c>
      <c r="H20" s="23" t="s">
        <v>2806</v>
      </c>
      <c r="I20" s="24" t="s">
        <v>36</v>
      </c>
      <c r="J20" s="25"/>
      <c r="K20" s="25"/>
      <c r="L20" s="25"/>
      <c r="M20" s="25"/>
      <c r="N20" s="26">
        <v>1</v>
      </c>
      <c r="O20" s="27">
        <f t="shared" si="0"/>
        <v>1</v>
      </c>
      <c r="P20" s="185"/>
      <c r="Q20" s="185"/>
    </row>
    <row r="21" spans="1:17">
      <c r="E21" s="12">
        <v>4</v>
      </c>
      <c r="F21" s="13">
        <v>4</v>
      </c>
      <c r="G21" s="13"/>
      <c r="H21" s="14" t="s">
        <v>14</v>
      </c>
      <c r="I21" s="15"/>
      <c r="J21" s="16"/>
      <c r="K21" s="17"/>
      <c r="L21" s="16"/>
      <c r="M21" s="17"/>
      <c r="N21" s="18"/>
      <c r="O21" s="19"/>
      <c r="P21" s="185"/>
      <c r="Q21" s="185"/>
    </row>
    <row r="22" spans="1:17" ht="30" hidden="1" outlineLevel="1">
      <c r="A22" s="2">
        <v>4</v>
      </c>
      <c r="B22" s="2">
        <v>1</v>
      </c>
      <c r="E22" s="20" t="str">
        <f>CONCATENATE(A22,".",B22,)</f>
        <v>4.1</v>
      </c>
      <c r="F22" s="21" t="s">
        <v>2807</v>
      </c>
      <c r="G22" s="22" t="s">
        <v>1923</v>
      </c>
      <c r="H22" s="23" t="s">
        <v>2808</v>
      </c>
      <c r="I22" s="24" t="s">
        <v>45</v>
      </c>
      <c r="J22" s="25"/>
      <c r="K22" s="25"/>
      <c r="L22" s="25"/>
      <c r="M22" s="25"/>
      <c r="N22" s="26">
        <v>15863.12</v>
      </c>
      <c r="O22" s="27">
        <f>ROUND(PRODUCT(J22:N22),2)</f>
        <v>15863.12</v>
      </c>
      <c r="P22" s="185"/>
      <c r="Q22" s="185"/>
    </row>
    <row r="23" spans="1:17" hidden="1" outlineLevel="1">
      <c r="A23" s="2">
        <v>4</v>
      </c>
      <c r="B23" s="2">
        <f>B22+1</f>
        <v>2</v>
      </c>
      <c r="E23" s="20" t="str">
        <f>CONCATENATE(A23,".",B23,)</f>
        <v>4.2</v>
      </c>
      <c r="F23" s="21" t="s">
        <v>2809</v>
      </c>
      <c r="G23" s="22" t="s">
        <v>1926</v>
      </c>
      <c r="H23" s="23" t="s">
        <v>2810</v>
      </c>
      <c r="I23" s="24" t="s">
        <v>45</v>
      </c>
      <c r="J23" s="25"/>
      <c r="K23" s="25"/>
      <c r="L23" s="25"/>
      <c r="M23" s="25"/>
      <c r="N23" s="26">
        <v>15863.12</v>
      </c>
      <c r="O23" s="27">
        <f>ROUND(PRODUCT(J23:N23),2)</f>
        <v>15863.12</v>
      </c>
      <c r="P23" s="185"/>
      <c r="Q23" s="185"/>
    </row>
    <row r="24" spans="1:17" ht="30" hidden="1" outlineLevel="1">
      <c r="A24" s="2">
        <v>4</v>
      </c>
      <c r="B24" s="2">
        <f>B23+1</f>
        <v>3</v>
      </c>
      <c r="E24" s="20" t="str">
        <f>CONCATENATE(A24,".",B24,)</f>
        <v>4.3</v>
      </c>
      <c r="F24" s="21" t="s">
        <v>2811</v>
      </c>
      <c r="G24" s="22" t="s">
        <v>1929</v>
      </c>
      <c r="H24" s="23" t="s">
        <v>1930</v>
      </c>
      <c r="I24" s="24" t="s">
        <v>126</v>
      </c>
      <c r="J24" s="25"/>
      <c r="K24" s="25"/>
      <c r="L24" s="25"/>
      <c r="M24" s="25"/>
      <c r="N24" s="26">
        <v>334.6</v>
      </c>
      <c r="O24" s="27">
        <f>ROUND(PRODUCT(J24:N24),2)</f>
        <v>334.6</v>
      </c>
      <c r="P24" s="185"/>
      <c r="Q24" s="185"/>
    </row>
    <row r="25" spans="1:17" ht="30" hidden="1" outlineLevel="1">
      <c r="E25" s="20"/>
      <c r="F25" s="21" t="s">
        <v>2812</v>
      </c>
      <c r="G25" s="22">
        <v>104740</v>
      </c>
      <c r="H25" s="23" t="s">
        <v>1933</v>
      </c>
      <c r="I25" s="24" t="s">
        <v>126</v>
      </c>
      <c r="J25" s="25"/>
      <c r="K25" s="25"/>
      <c r="L25" s="25"/>
      <c r="M25" s="25"/>
      <c r="N25" s="26">
        <v>334.6</v>
      </c>
      <c r="O25" s="27">
        <f>ROUND(PRODUCT(J25:N25),2)</f>
        <v>334.6</v>
      </c>
      <c r="P25" s="185"/>
      <c r="Q25" s="185"/>
    </row>
    <row r="26" spans="1:17" ht="45" hidden="1" outlineLevel="1">
      <c r="A26" s="2">
        <v>4</v>
      </c>
      <c r="B26" s="2">
        <f>B24+1</f>
        <v>4</v>
      </c>
      <c r="E26" s="20" t="str">
        <f>CONCATENATE(A26,".",B26,)</f>
        <v>4.4</v>
      </c>
      <c r="F26" s="21" t="s">
        <v>2813</v>
      </c>
      <c r="G26" s="22">
        <v>1550</v>
      </c>
      <c r="H26" s="23" t="s">
        <v>2814</v>
      </c>
      <c r="I26" s="24" t="s">
        <v>2815</v>
      </c>
      <c r="J26" s="25"/>
      <c r="K26" s="25"/>
      <c r="L26" s="25"/>
      <c r="M26" s="25"/>
      <c r="N26" s="26">
        <f>10395.51-N25</f>
        <v>10060.91</v>
      </c>
      <c r="O26" s="27">
        <f>ROUND(PRODUCT(J26:N26),2)</f>
        <v>10060.91</v>
      </c>
      <c r="P26" s="185"/>
      <c r="Q26" s="185"/>
    </row>
    <row r="27" spans="1:17" ht="45" hidden="1" outlineLevel="1">
      <c r="A27" s="2">
        <v>4</v>
      </c>
      <c r="B27" s="2">
        <f>B26+1</f>
        <v>5</v>
      </c>
      <c r="E27" s="20" t="str">
        <f>CONCATENATE(A27,".",B27,)</f>
        <v>4.5</v>
      </c>
      <c r="F27" s="21" t="s">
        <v>2816</v>
      </c>
      <c r="G27" s="22" t="s">
        <v>1941</v>
      </c>
      <c r="H27" s="23" t="s">
        <v>1942</v>
      </c>
      <c r="I27" s="24" t="s">
        <v>1943</v>
      </c>
      <c r="J27" s="25"/>
      <c r="K27" s="10"/>
      <c r="L27" s="32"/>
      <c r="M27" s="10"/>
      <c r="N27" s="33"/>
      <c r="O27" s="27">
        <f>SUM(O28:O28)</f>
        <v>7545.68</v>
      </c>
      <c r="P27" s="185"/>
      <c r="Q27" s="185"/>
    </row>
    <row r="28" spans="1:17" hidden="1" outlineLevel="2">
      <c r="E28" s="20"/>
      <c r="F28" s="21"/>
      <c r="G28" s="34"/>
      <c r="H28" s="30" t="s">
        <v>2817</v>
      </c>
      <c r="I28" s="35"/>
      <c r="J28" s="36">
        <v>0.75</v>
      </c>
      <c r="K28" s="37"/>
      <c r="L28" s="37"/>
      <c r="M28" s="37"/>
      <c r="N28" s="38">
        <f>N26</f>
        <v>10060.91</v>
      </c>
      <c r="O28" s="39">
        <f>ROUND(PRODUCT(J28:N28),2)</f>
        <v>7545.68</v>
      </c>
      <c r="P28" s="185"/>
      <c r="Q28" s="185"/>
    </row>
    <row r="29" spans="1:17" ht="30" hidden="1" outlineLevel="1">
      <c r="A29" s="2">
        <v>4</v>
      </c>
      <c r="B29" s="2">
        <f>B27+1</f>
        <v>6</v>
      </c>
      <c r="E29" s="20" t="str">
        <f>CONCATENATE(A29,".",B29,)</f>
        <v>4.6</v>
      </c>
      <c r="F29" s="21" t="s">
        <v>2818</v>
      </c>
      <c r="G29" s="22" t="s">
        <v>1945</v>
      </c>
      <c r="H29" s="23" t="s">
        <v>1946</v>
      </c>
      <c r="I29" s="24" t="s">
        <v>1947</v>
      </c>
      <c r="J29" s="25"/>
      <c r="K29" s="10"/>
      <c r="L29" s="32"/>
      <c r="M29" s="10"/>
      <c r="N29" s="33"/>
      <c r="O29" s="27">
        <f>SUM(O30)</f>
        <v>150913.60000000001</v>
      </c>
      <c r="P29" s="185"/>
      <c r="Q29" s="185"/>
    </row>
    <row r="30" spans="1:17" hidden="1" outlineLevel="2">
      <c r="E30" s="20"/>
      <c r="F30" s="21"/>
      <c r="G30" s="34"/>
      <c r="H30" s="30"/>
      <c r="I30" s="35"/>
      <c r="J30" s="40">
        <v>20</v>
      </c>
      <c r="K30" s="33"/>
      <c r="L30" s="41"/>
      <c r="M30" s="33"/>
      <c r="N30" s="33">
        <f>O27</f>
        <v>7545.68</v>
      </c>
      <c r="O30" s="31">
        <f>ROUND(PRODUCT(J30:N30),2)</f>
        <v>150913.60000000001</v>
      </c>
      <c r="P30" s="185"/>
      <c r="Q30" s="185"/>
    </row>
    <row r="31" spans="1:17" collapsed="1">
      <c r="E31" s="42">
        <v>5</v>
      </c>
      <c r="F31" s="43">
        <v>5</v>
      </c>
      <c r="G31" s="13"/>
      <c r="H31" s="14" t="s">
        <v>15</v>
      </c>
      <c r="I31" s="15"/>
      <c r="J31" s="16"/>
      <c r="K31" s="17"/>
      <c r="L31" s="16"/>
      <c r="M31" s="17"/>
      <c r="N31" s="18"/>
      <c r="O31" s="19"/>
      <c r="P31" s="185"/>
      <c r="Q31" s="185"/>
    </row>
    <row r="32" spans="1:17">
      <c r="E32" s="44" t="s">
        <v>2819</v>
      </c>
      <c r="F32" s="45" t="s">
        <v>2819</v>
      </c>
      <c r="G32" s="13"/>
      <c r="H32" s="14" t="s">
        <v>1965</v>
      </c>
      <c r="I32" s="15"/>
      <c r="J32" s="16"/>
      <c r="K32" s="17"/>
      <c r="L32" s="16"/>
      <c r="M32" s="17"/>
      <c r="N32" s="18"/>
      <c r="O32" s="19"/>
      <c r="P32" s="185"/>
      <c r="Q32" s="185"/>
    </row>
    <row r="33" spans="1:17" ht="30" hidden="1" outlineLevel="1">
      <c r="A33" s="2">
        <v>5</v>
      </c>
      <c r="B33" s="2">
        <v>1</v>
      </c>
      <c r="C33" s="2">
        <v>1</v>
      </c>
      <c r="E33" s="20" t="str">
        <f>CONCATENATE(A33,".",B33,".",C33)</f>
        <v>5.1.1</v>
      </c>
      <c r="F33" s="120" t="s">
        <v>2820</v>
      </c>
      <c r="G33" s="113">
        <v>99059</v>
      </c>
      <c r="H33" s="114" t="s">
        <v>2821</v>
      </c>
      <c r="I33" s="115" t="s">
        <v>144</v>
      </c>
      <c r="J33" s="131"/>
      <c r="K33" s="132"/>
      <c r="L33" s="133"/>
      <c r="M33" s="132"/>
      <c r="N33" s="134"/>
      <c r="O33" s="135">
        <f>SUM(O34)</f>
        <v>268.29000000000002</v>
      </c>
      <c r="P33" s="185"/>
      <c r="Q33" s="185"/>
    </row>
    <row r="34" spans="1:17" hidden="1" outlineLevel="1">
      <c r="E34" s="20"/>
      <c r="F34" s="120"/>
      <c r="G34" s="136"/>
      <c r="H34" s="118"/>
      <c r="I34" s="137"/>
      <c r="J34" s="131"/>
      <c r="K34" s="138"/>
      <c r="L34" s="134"/>
      <c r="M34" s="138"/>
      <c r="N34" s="134">
        <v>268.29000000000002</v>
      </c>
      <c r="O34" s="139">
        <f>ROUND(PRODUCT(J34:N34),2)</f>
        <v>268.29000000000002</v>
      </c>
      <c r="P34" s="28"/>
      <c r="Q34" s="185"/>
    </row>
    <row r="35" spans="1:17" ht="45" hidden="1" outlineLevel="1">
      <c r="A35" s="2">
        <v>5</v>
      </c>
      <c r="B35" s="2">
        <v>1</v>
      </c>
      <c r="C35" s="2">
        <f>1+C33</f>
        <v>2</v>
      </c>
      <c r="E35" s="20" t="str">
        <f>CONCATENATE(A35,".",B35,".",C35)</f>
        <v>5.1.2</v>
      </c>
      <c r="F35" s="120" t="s">
        <v>2822</v>
      </c>
      <c r="G35" s="113">
        <v>96521</v>
      </c>
      <c r="H35" s="114" t="s">
        <v>1971</v>
      </c>
      <c r="I35" s="115" t="s">
        <v>126</v>
      </c>
      <c r="J35" s="131"/>
      <c r="K35" s="132"/>
      <c r="L35" s="133"/>
      <c r="M35" s="132"/>
      <c r="N35" s="134"/>
      <c r="O35" s="135">
        <f>SUM(O36:O36)</f>
        <v>1176.3599999999999</v>
      </c>
      <c r="P35" s="185"/>
      <c r="Q35" s="185"/>
    </row>
    <row r="36" spans="1:17" hidden="1" outlineLevel="1">
      <c r="E36" s="20"/>
      <c r="F36" s="120"/>
      <c r="G36" s="136"/>
      <c r="H36" s="118" t="s">
        <v>2823</v>
      </c>
      <c r="I36" s="137"/>
      <c r="J36" s="131"/>
      <c r="K36" s="138"/>
      <c r="L36" s="134"/>
      <c r="M36" s="138"/>
      <c r="N36" s="134">
        <f>1011.26+165.1</f>
        <v>1176.3599999999999</v>
      </c>
      <c r="O36" s="139">
        <f>ROUND(PRODUCT(J36:N36),2)</f>
        <v>1176.3599999999999</v>
      </c>
      <c r="P36" s="185"/>
      <c r="Q36" s="185"/>
    </row>
    <row r="37" spans="1:17" ht="30" hidden="1" outlineLevel="1">
      <c r="E37" s="20"/>
      <c r="F37" s="120" t="s">
        <v>2824</v>
      </c>
      <c r="G37" s="113">
        <v>96525</v>
      </c>
      <c r="H37" s="114" t="s">
        <v>1974</v>
      </c>
      <c r="I37" s="115" t="s">
        <v>126</v>
      </c>
      <c r="J37" s="131"/>
      <c r="K37" s="132"/>
      <c r="L37" s="133"/>
      <c r="M37" s="132"/>
      <c r="N37" s="134"/>
      <c r="O37" s="135">
        <f>SUM(O38:O38)</f>
        <v>210.35</v>
      </c>
      <c r="P37" s="185"/>
      <c r="Q37" s="185"/>
    </row>
    <row r="38" spans="1:17" hidden="1" outlineLevel="1">
      <c r="A38" s="2">
        <v>5</v>
      </c>
      <c r="B38" s="2">
        <v>1</v>
      </c>
      <c r="C38" s="2">
        <f>1+C35</f>
        <v>3</v>
      </c>
      <c r="E38" s="20" t="str">
        <f>CONCATENATE(A38,".",B38,".",C38)</f>
        <v>5.1.3</v>
      </c>
      <c r="F38" s="120"/>
      <c r="G38" s="136"/>
      <c r="H38" s="118" t="s">
        <v>2825</v>
      </c>
      <c r="I38" s="137"/>
      <c r="J38" s="131"/>
      <c r="K38" s="138"/>
      <c r="L38" s="134"/>
      <c r="M38" s="138"/>
      <c r="N38" s="134">
        <f>187.87+22.48</f>
        <v>210.35</v>
      </c>
      <c r="O38" s="139">
        <f>ROUND(PRODUCT(J38:N38),2)</f>
        <v>210.35</v>
      </c>
      <c r="P38" s="185"/>
      <c r="Q38" s="185"/>
    </row>
    <row r="39" spans="1:17" ht="30" hidden="1" outlineLevel="1">
      <c r="E39" s="20"/>
      <c r="F39" s="120" t="s">
        <v>2826</v>
      </c>
      <c r="G39" s="113">
        <v>96619</v>
      </c>
      <c r="H39" s="114" t="s">
        <v>1977</v>
      </c>
      <c r="I39" s="115" t="s">
        <v>45</v>
      </c>
      <c r="J39" s="131"/>
      <c r="K39" s="132"/>
      <c r="L39" s="133"/>
      <c r="M39" s="132"/>
      <c r="N39" s="134"/>
      <c r="O39" s="135">
        <f>SUM(O40:O40)</f>
        <v>1083.53</v>
      </c>
      <c r="P39" s="185"/>
      <c r="Q39" s="185"/>
    </row>
    <row r="40" spans="1:17" hidden="1" outlineLevel="1">
      <c r="E40" s="20"/>
      <c r="F40" s="120"/>
      <c r="G40" s="136"/>
      <c r="H40" s="118"/>
      <c r="I40" s="137"/>
      <c r="J40" s="131"/>
      <c r="K40" s="138"/>
      <c r="L40" s="134"/>
      <c r="M40" s="138"/>
      <c r="N40" s="134">
        <f>423.21+492.93+86.93+80.46</f>
        <v>1083.53</v>
      </c>
      <c r="O40" s="139">
        <f>ROUND(PRODUCT(J40:N40),2)</f>
        <v>1083.53</v>
      </c>
      <c r="P40" s="185"/>
      <c r="Q40" s="185"/>
    </row>
    <row r="41" spans="1:17" ht="30" hidden="1" outlineLevel="1">
      <c r="A41" s="2">
        <v>5</v>
      </c>
      <c r="B41" s="2">
        <v>1</v>
      </c>
      <c r="C41" s="2">
        <f>1+C38</f>
        <v>4</v>
      </c>
      <c r="E41" s="20" t="str">
        <f>CONCATENATE(A41,".",B41,".",C41)</f>
        <v>5.1.4</v>
      </c>
      <c r="F41" s="120" t="s">
        <v>2827</v>
      </c>
      <c r="G41" s="113">
        <v>96557</v>
      </c>
      <c r="H41" s="114" t="s">
        <v>1980</v>
      </c>
      <c r="I41" s="115" t="s">
        <v>126</v>
      </c>
      <c r="J41" s="131"/>
      <c r="K41" s="132"/>
      <c r="L41" s="133"/>
      <c r="M41" s="132"/>
      <c r="N41" s="134"/>
      <c r="O41" s="135">
        <f>SUM(O42:O42)</f>
        <v>78.87</v>
      </c>
      <c r="P41" s="185"/>
      <c r="Q41" s="185"/>
    </row>
    <row r="42" spans="1:17" hidden="1" outlineLevel="1">
      <c r="E42" s="20"/>
      <c r="F42" s="120"/>
      <c r="G42" s="136"/>
      <c r="H42" s="118" t="s">
        <v>2828</v>
      </c>
      <c r="I42" s="137"/>
      <c r="J42" s="131"/>
      <c r="K42" s="138"/>
      <c r="L42" s="134"/>
      <c r="M42" s="138"/>
      <c r="N42" s="134">
        <f>65.53+13.34</f>
        <v>78.87</v>
      </c>
      <c r="O42" s="139">
        <f>ROUND(PRODUCT(J42:N42),2)</f>
        <v>78.87</v>
      </c>
      <c r="P42" s="185"/>
      <c r="Q42" s="185"/>
    </row>
    <row r="43" spans="1:17" ht="30" hidden="1" outlineLevel="1">
      <c r="E43" s="20"/>
      <c r="F43" s="120" t="s">
        <v>2829</v>
      </c>
      <c r="G43" s="113">
        <v>96535</v>
      </c>
      <c r="H43" s="114" t="s">
        <v>1983</v>
      </c>
      <c r="I43" s="115" t="s">
        <v>45</v>
      </c>
      <c r="J43" s="131"/>
      <c r="K43" s="132"/>
      <c r="L43" s="133"/>
      <c r="M43" s="132"/>
      <c r="N43" s="134"/>
      <c r="O43" s="135">
        <f>SUM(O44:O44)</f>
        <v>334.18</v>
      </c>
      <c r="P43" s="185"/>
      <c r="Q43" s="185"/>
    </row>
    <row r="44" spans="1:17" hidden="1" outlineLevel="1">
      <c r="E44" s="20"/>
      <c r="F44" s="120"/>
      <c r="G44" s="136"/>
      <c r="H44" s="118"/>
      <c r="I44" s="137"/>
      <c r="J44" s="131"/>
      <c r="K44" s="138"/>
      <c r="L44" s="134"/>
      <c r="M44" s="138"/>
      <c r="N44" s="134">
        <f>292.68+41.5</f>
        <v>334.18</v>
      </c>
      <c r="O44" s="139">
        <f>ROUND(PRODUCT(J44:N44),2)</f>
        <v>334.18</v>
      </c>
      <c r="P44" s="185"/>
      <c r="Q44" s="185"/>
    </row>
    <row r="45" spans="1:17" ht="30" hidden="1" outlineLevel="1">
      <c r="E45" s="20"/>
      <c r="F45" s="120" t="s">
        <v>2830</v>
      </c>
      <c r="G45" s="113">
        <v>96536</v>
      </c>
      <c r="H45" s="114" t="s">
        <v>1986</v>
      </c>
      <c r="I45" s="115" t="s">
        <v>45</v>
      </c>
      <c r="J45" s="131"/>
      <c r="K45" s="132"/>
      <c r="L45" s="133"/>
      <c r="M45" s="132"/>
      <c r="N45" s="134"/>
      <c r="O45" s="135">
        <f>SUM(O46:O46)</f>
        <v>1165.58</v>
      </c>
      <c r="P45" s="185"/>
      <c r="Q45" s="185"/>
    </row>
    <row r="46" spans="1:17" hidden="1" outlineLevel="1">
      <c r="E46" s="20"/>
      <c r="F46" s="120"/>
      <c r="G46" s="136"/>
      <c r="H46" s="118"/>
      <c r="I46" s="137"/>
      <c r="J46" s="131"/>
      <c r="K46" s="138"/>
      <c r="L46" s="134"/>
      <c r="M46" s="138"/>
      <c r="N46" s="134">
        <f>1013.7+151.88</f>
        <v>1165.58</v>
      </c>
      <c r="O46" s="139">
        <f>ROUND(PRODUCT(J46:N46),2)</f>
        <v>1165.58</v>
      </c>
      <c r="P46" s="185"/>
      <c r="Q46" s="185"/>
    </row>
    <row r="47" spans="1:17" ht="45" hidden="1" outlineLevel="1">
      <c r="E47" s="20"/>
      <c r="F47" s="120" t="s">
        <v>2831</v>
      </c>
      <c r="G47" s="113">
        <v>92439</v>
      </c>
      <c r="H47" s="114" t="s">
        <v>1989</v>
      </c>
      <c r="I47" s="115" t="s">
        <v>45</v>
      </c>
      <c r="J47" s="131"/>
      <c r="K47" s="132"/>
      <c r="L47" s="133"/>
      <c r="M47" s="132"/>
      <c r="N47" s="134"/>
      <c r="O47" s="135">
        <f>SUM(O48:O48)</f>
        <v>296.52</v>
      </c>
      <c r="P47" s="185"/>
      <c r="Q47" s="185"/>
    </row>
    <row r="48" spans="1:17" hidden="1" outlineLevel="1">
      <c r="E48" s="20"/>
      <c r="F48" s="120"/>
      <c r="G48" s="136"/>
      <c r="H48" s="118"/>
      <c r="I48" s="137"/>
      <c r="J48" s="131"/>
      <c r="K48" s="138"/>
      <c r="L48" s="134"/>
      <c r="M48" s="138"/>
      <c r="N48" s="134">
        <v>296.52</v>
      </c>
      <c r="O48" s="139">
        <f>ROUND(PRODUCT(J48:N48),2)</f>
        <v>296.52</v>
      </c>
      <c r="P48" s="185"/>
      <c r="Q48" s="185"/>
    </row>
    <row r="49" spans="1:17" ht="30" hidden="1" outlineLevel="1">
      <c r="E49" s="20"/>
      <c r="F49" s="120" t="s">
        <v>2832</v>
      </c>
      <c r="G49" s="113">
        <v>104916</v>
      </c>
      <c r="H49" s="114" t="s">
        <v>1992</v>
      </c>
      <c r="I49" s="115" t="s">
        <v>80</v>
      </c>
      <c r="J49" s="131"/>
      <c r="K49" s="132"/>
      <c r="L49" s="133"/>
      <c r="M49" s="132"/>
      <c r="N49" s="134"/>
      <c r="O49" s="135">
        <f>SUM(O50:O50)</f>
        <v>978.32</v>
      </c>
      <c r="P49" s="185"/>
      <c r="Q49" s="185"/>
    </row>
    <row r="50" spans="1:17" hidden="1" outlineLevel="1">
      <c r="A50" s="2">
        <v>5</v>
      </c>
      <c r="B50" s="2">
        <v>1</v>
      </c>
      <c r="C50" s="2">
        <f>1+C41</f>
        <v>5</v>
      </c>
      <c r="E50" s="20" t="str">
        <f>CONCATENATE(A50,".",B50,".",C50)</f>
        <v>5.1.5</v>
      </c>
      <c r="F50" s="120"/>
      <c r="G50" s="136"/>
      <c r="H50" s="118" t="s">
        <v>2825</v>
      </c>
      <c r="I50" s="140"/>
      <c r="J50" s="140"/>
      <c r="K50" s="138"/>
      <c r="L50" s="138"/>
      <c r="M50" s="140"/>
      <c r="N50" s="138">
        <f>798.82+179.5</f>
        <v>978.32</v>
      </c>
      <c r="O50" s="139">
        <f>ROUND(PRODUCT(J50:N50),2)</f>
        <v>978.32</v>
      </c>
      <c r="P50" s="185"/>
      <c r="Q50" s="185"/>
    </row>
    <row r="51" spans="1:17" ht="30" hidden="1" outlineLevel="1">
      <c r="E51" s="20"/>
      <c r="F51" s="120" t="s">
        <v>2833</v>
      </c>
      <c r="G51" s="113">
        <v>104917</v>
      </c>
      <c r="H51" s="114" t="s">
        <v>1995</v>
      </c>
      <c r="I51" s="115" t="s">
        <v>80</v>
      </c>
      <c r="J51" s="141"/>
      <c r="K51" s="132"/>
      <c r="L51" s="133"/>
      <c r="M51" s="142"/>
      <c r="N51" s="134"/>
      <c r="O51" s="135">
        <f>SUM(O52:O53)</f>
        <v>639.59999999999991</v>
      </c>
      <c r="P51" s="185"/>
      <c r="Q51" s="185"/>
    </row>
    <row r="52" spans="1:17" hidden="1" outlineLevel="1">
      <c r="E52" s="20"/>
      <c r="F52" s="120"/>
      <c r="G52" s="118"/>
      <c r="H52" s="118" t="s">
        <v>2823</v>
      </c>
      <c r="I52" s="140"/>
      <c r="J52" s="140"/>
      <c r="K52" s="138"/>
      <c r="L52" s="138"/>
      <c r="M52" s="140"/>
      <c r="N52" s="138">
        <f>200.91+3.1</f>
        <v>204.01</v>
      </c>
      <c r="O52" s="139">
        <f>ROUND(PRODUCT(J52:N52),2)</f>
        <v>204.01</v>
      </c>
      <c r="P52" s="185"/>
      <c r="Q52" s="185"/>
    </row>
    <row r="53" spans="1:17" hidden="1" outlineLevel="1">
      <c r="E53" s="20"/>
      <c r="F53" s="120"/>
      <c r="G53" s="136"/>
      <c r="H53" s="118" t="s">
        <v>2825</v>
      </c>
      <c r="I53" s="140"/>
      <c r="J53" s="140"/>
      <c r="K53" s="138"/>
      <c r="L53" s="138"/>
      <c r="M53" s="140"/>
      <c r="N53" s="138">
        <f>431.09+4.5</f>
        <v>435.59</v>
      </c>
      <c r="O53" s="139">
        <f>ROUND(PRODUCT(J53:N53),2)</f>
        <v>435.59</v>
      </c>
      <c r="P53" s="185"/>
      <c r="Q53" s="185"/>
    </row>
    <row r="54" spans="1:17" ht="30" hidden="1" outlineLevel="1">
      <c r="E54" s="20"/>
      <c r="F54" s="120" t="s">
        <v>2833</v>
      </c>
      <c r="G54" s="113">
        <v>104921</v>
      </c>
      <c r="H54" s="114" t="s">
        <v>1998</v>
      </c>
      <c r="I54" s="115" t="s">
        <v>80</v>
      </c>
      <c r="J54" s="141"/>
      <c r="K54" s="132"/>
      <c r="L54" s="133"/>
      <c r="M54" s="142"/>
      <c r="N54" s="134"/>
      <c r="O54" s="135">
        <f>SUM(O55:O56)</f>
        <v>3472.4300000000003</v>
      </c>
      <c r="P54" s="185"/>
      <c r="Q54" s="185"/>
    </row>
    <row r="55" spans="1:17" hidden="1" outlineLevel="1">
      <c r="E55" s="20"/>
      <c r="F55" s="120"/>
      <c r="G55" s="113"/>
      <c r="H55" s="118" t="s">
        <v>2823</v>
      </c>
      <c r="I55" s="140"/>
      <c r="J55" s="140"/>
      <c r="K55" s="138"/>
      <c r="L55" s="138"/>
      <c r="M55" s="140"/>
      <c r="N55" s="138">
        <v>3304.09</v>
      </c>
      <c r="O55" s="139">
        <f>ROUND(PRODUCT(J55:N55),2)</f>
        <v>3304.09</v>
      </c>
      <c r="P55" s="185"/>
      <c r="Q55" s="185"/>
    </row>
    <row r="56" spans="1:17" hidden="1" outlineLevel="1">
      <c r="E56" s="20"/>
      <c r="F56" s="120"/>
      <c r="G56" s="136"/>
      <c r="H56" s="118" t="s">
        <v>2825</v>
      </c>
      <c r="I56" s="140"/>
      <c r="J56" s="140"/>
      <c r="K56" s="138"/>
      <c r="L56" s="138"/>
      <c r="M56" s="140"/>
      <c r="N56" s="138">
        <f>115.64+52.7</f>
        <v>168.34</v>
      </c>
      <c r="O56" s="139">
        <f>ROUND(PRODUCT(J56:N56),2)</f>
        <v>168.34</v>
      </c>
      <c r="P56" s="185"/>
      <c r="Q56" s="185"/>
    </row>
    <row r="57" spans="1:17" ht="30" hidden="1" outlineLevel="1">
      <c r="E57" s="20"/>
      <c r="F57" s="120" t="s">
        <v>2834</v>
      </c>
      <c r="G57" s="113">
        <v>104919</v>
      </c>
      <c r="H57" s="114" t="s">
        <v>2001</v>
      </c>
      <c r="I57" s="115" t="s">
        <v>80</v>
      </c>
      <c r="J57" s="141"/>
      <c r="K57" s="132"/>
      <c r="L57" s="133"/>
      <c r="M57" s="142"/>
      <c r="N57" s="134"/>
      <c r="O57" s="135">
        <f>SUM(O58:O59)</f>
        <v>4350.74</v>
      </c>
      <c r="P57" s="185"/>
      <c r="Q57" s="185"/>
    </row>
    <row r="58" spans="1:17" hidden="1" outlineLevel="1">
      <c r="E58" s="20"/>
      <c r="F58" s="120"/>
      <c r="G58" s="136"/>
      <c r="H58" s="118" t="s">
        <v>2823</v>
      </c>
      <c r="I58" s="140"/>
      <c r="J58" s="140"/>
      <c r="K58" s="138"/>
      <c r="L58" s="138"/>
      <c r="M58" s="140"/>
      <c r="N58" s="138">
        <f>2445.64+555.8</f>
        <v>3001.4399999999996</v>
      </c>
      <c r="O58" s="139">
        <f>ROUND(PRODUCT(J58:N58),2)</f>
        <v>3001.44</v>
      </c>
      <c r="P58" s="185"/>
      <c r="Q58" s="185"/>
    </row>
    <row r="59" spans="1:17" hidden="1" outlineLevel="1">
      <c r="A59" s="2">
        <v>5</v>
      </c>
      <c r="B59" s="2">
        <v>1</v>
      </c>
      <c r="C59" s="2">
        <f>1+C50</f>
        <v>6</v>
      </c>
      <c r="E59" s="20" t="str">
        <f>CONCATENATE(A59,".",B59,".",C59)</f>
        <v>5.1.6</v>
      </c>
      <c r="F59" s="120"/>
      <c r="G59" s="136"/>
      <c r="H59" s="118" t="s">
        <v>2828</v>
      </c>
      <c r="I59" s="140"/>
      <c r="J59" s="140"/>
      <c r="K59" s="138"/>
      <c r="L59" s="138"/>
      <c r="M59" s="140"/>
      <c r="N59" s="138">
        <f>1137+212.3</f>
        <v>1349.3</v>
      </c>
      <c r="O59" s="139">
        <f>ROUND(PRODUCT(J59:N59),2)</f>
        <v>1349.3</v>
      </c>
      <c r="P59" s="185"/>
      <c r="Q59" s="185"/>
    </row>
    <row r="60" spans="1:17" ht="30" hidden="1" outlineLevel="1">
      <c r="E60" s="20"/>
      <c r="F60" s="120" t="s">
        <v>2833</v>
      </c>
      <c r="G60" s="113">
        <v>104920</v>
      </c>
      <c r="H60" s="114" t="s">
        <v>2004</v>
      </c>
      <c r="I60" s="115" t="s">
        <v>80</v>
      </c>
      <c r="J60" s="141"/>
      <c r="K60" s="132"/>
      <c r="L60" s="133"/>
      <c r="M60" s="142"/>
      <c r="N60" s="134"/>
      <c r="O60" s="135">
        <f>SUM(O61:O62)</f>
        <v>1402.57</v>
      </c>
      <c r="P60" s="185"/>
      <c r="Q60" s="185"/>
    </row>
    <row r="61" spans="1:17" hidden="1" outlineLevel="1">
      <c r="E61" s="20"/>
      <c r="F61" s="120"/>
      <c r="G61" s="113"/>
      <c r="H61" s="118" t="s">
        <v>2823</v>
      </c>
      <c r="I61" s="140"/>
      <c r="J61" s="140"/>
      <c r="K61" s="138"/>
      <c r="L61" s="138"/>
      <c r="M61" s="140"/>
      <c r="N61" s="138">
        <v>930.36</v>
      </c>
      <c r="O61" s="139">
        <f>ROUND(PRODUCT(J61:N61),2)</f>
        <v>930.36</v>
      </c>
      <c r="P61" s="185"/>
      <c r="Q61" s="185"/>
    </row>
    <row r="62" spans="1:17" hidden="1" outlineLevel="1">
      <c r="E62" s="20"/>
      <c r="F62" s="120"/>
      <c r="G62" s="136"/>
      <c r="H62" s="118" t="s">
        <v>2828</v>
      </c>
      <c r="I62" s="140"/>
      <c r="J62" s="140"/>
      <c r="K62" s="138"/>
      <c r="L62" s="138"/>
      <c r="M62" s="140"/>
      <c r="N62" s="138">
        <f>317.91+154.3</f>
        <v>472.21000000000004</v>
      </c>
      <c r="O62" s="139">
        <f>ROUND(PRODUCT(J62:N62),2)</f>
        <v>472.21</v>
      </c>
      <c r="P62" s="185"/>
      <c r="Q62" s="185"/>
    </row>
    <row r="63" spans="1:17" ht="30" hidden="1" outlineLevel="1">
      <c r="E63" s="20"/>
      <c r="F63" s="120" t="s">
        <v>2835</v>
      </c>
      <c r="G63" s="113">
        <v>92759</v>
      </c>
      <c r="H63" s="114" t="s">
        <v>79</v>
      </c>
      <c r="I63" s="115" t="s">
        <v>80</v>
      </c>
      <c r="J63" s="141"/>
      <c r="K63" s="132"/>
      <c r="L63" s="133"/>
      <c r="M63" s="142"/>
      <c r="N63" s="134"/>
      <c r="O63" s="135">
        <f>SUM(O64)</f>
        <v>681.27</v>
      </c>
      <c r="P63" s="185"/>
      <c r="Q63" s="185"/>
    </row>
    <row r="64" spans="1:17" hidden="1" outlineLevel="1">
      <c r="E64" s="20"/>
      <c r="F64" s="120"/>
      <c r="G64" s="136"/>
      <c r="H64" s="118"/>
      <c r="I64" s="140"/>
      <c r="J64" s="140"/>
      <c r="K64" s="138"/>
      <c r="L64" s="138"/>
      <c r="M64" s="140"/>
      <c r="N64" s="138">
        <v>681.27</v>
      </c>
      <c r="O64" s="139">
        <f>ROUND(PRODUCT(J64:N64),2)</f>
        <v>681.27</v>
      </c>
      <c r="P64" s="185"/>
      <c r="Q64" s="185"/>
    </row>
    <row r="65" spans="1:17" ht="30" hidden="1" outlineLevel="1">
      <c r="E65" s="20"/>
      <c r="F65" s="120" t="s">
        <v>2836</v>
      </c>
      <c r="G65" s="113">
        <v>92762</v>
      </c>
      <c r="H65" s="114" t="s">
        <v>89</v>
      </c>
      <c r="I65" s="115" t="s">
        <v>80</v>
      </c>
      <c r="J65" s="131"/>
      <c r="K65" s="132"/>
      <c r="L65" s="133"/>
      <c r="M65" s="142"/>
      <c r="N65" s="134"/>
      <c r="O65" s="135">
        <f>SUM(O66)</f>
        <v>915</v>
      </c>
      <c r="P65" s="185"/>
      <c r="Q65" s="185"/>
    </row>
    <row r="66" spans="1:17" hidden="1" outlineLevel="1">
      <c r="E66" s="20"/>
      <c r="F66" s="120"/>
      <c r="G66" s="136"/>
      <c r="H66" s="118"/>
      <c r="I66" s="140"/>
      <c r="J66" s="140"/>
      <c r="K66" s="138"/>
      <c r="L66" s="138"/>
      <c r="M66" s="140"/>
      <c r="N66" s="138">
        <v>915</v>
      </c>
      <c r="O66" s="139">
        <f>ROUND(PRODUCT(J66:N66),2)</f>
        <v>915</v>
      </c>
      <c r="P66" s="185"/>
      <c r="Q66" s="185"/>
    </row>
    <row r="67" spans="1:17" ht="30" hidden="1" outlineLevel="1">
      <c r="E67" s="20"/>
      <c r="F67" s="120" t="s">
        <v>2837</v>
      </c>
      <c r="G67" s="113">
        <v>92763</v>
      </c>
      <c r="H67" s="114" t="s">
        <v>92</v>
      </c>
      <c r="I67" s="115" t="s">
        <v>80</v>
      </c>
      <c r="J67" s="141"/>
      <c r="K67" s="132"/>
      <c r="L67" s="133"/>
      <c r="M67" s="142"/>
      <c r="N67" s="134"/>
      <c r="O67" s="135">
        <f>SUM(O68)</f>
        <v>1017.91</v>
      </c>
      <c r="P67" s="185"/>
      <c r="Q67" s="185"/>
    </row>
    <row r="68" spans="1:17" hidden="1" outlineLevel="1">
      <c r="E68" s="20"/>
      <c r="F68" s="120"/>
      <c r="G68" s="136"/>
      <c r="H68" s="118"/>
      <c r="I68" s="140"/>
      <c r="J68" s="140"/>
      <c r="K68" s="138"/>
      <c r="L68" s="138"/>
      <c r="M68" s="140"/>
      <c r="N68" s="138">
        <v>1017.91</v>
      </c>
      <c r="O68" s="139">
        <f>ROUND(PRODUCT(J68:N68),2)</f>
        <v>1017.91</v>
      </c>
      <c r="P68" s="185"/>
      <c r="Q68" s="185"/>
    </row>
    <row r="69" spans="1:17" ht="30" hidden="1" outlineLevel="1">
      <c r="E69" s="20"/>
      <c r="F69" s="120" t="s">
        <v>2838</v>
      </c>
      <c r="G69" s="113">
        <v>92764</v>
      </c>
      <c r="H69" s="114" t="s">
        <v>95</v>
      </c>
      <c r="I69" s="115" t="s">
        <v>80</v>
      </c>
      <c r="J69" s="141"/>
      <c r="K69" s="132"/>
      <c r="L69" s="133"/>
      <c r="M69" s="142"/>
      <c r="N69" s="134"/>
      <c r="O69" s="135">
        <f>SUM(O70)</f>
        <v>508.36</v>
      </c>
      <c r="P69" s="185"/>
      <c r="Q69" s="185"/>
    </row>
    <row r="70" spans="1:17" hidden="1" outlineLevel="1">
      <c r="E70" s="20"/>
      <c r="F70" s="120"/>
      <c r="G70" s="136"/>
      <c r="H70" s="118"/>
      <c r="I70" s="140"/>
      <c r="J70" s="140"/>
      <c r="K70" s="138"/>
      <c r="L70" s="138"/>
      <c r="M70" s="140"/>
      <c r="N70" s="138">
        <v>508.36</v>
      </c>
      <c r="O70" s="139">
        <f>ROUND(PRODUCT(J70:N70),2)</f>
        <v>508.36</v>
      </c>
      <c r="P70" s="185"/>
      <c r="Q70" s="185"/>
    </row>
    <row r="71" spans="1:17" ht="30" hidden="1" outlineLevel="1">
      <c r="E71" s="20"/>
      <c r="F71" s="120" t="s">
        <v>2839</v>
      </c>
      <c r="G71" s="113">
        <v>92765</v>
      </c>
      <c r="H71" s="114" t="s">
        <v>98</v>
      </c>
      <c r="I71" s="115" t="s">
        <v>80</v>
      </c>
      <c r="J71" s="131"/>
      <c r="K71" s="132"/>
      <c r="L71" s="133"/>
      <c r="M71" s="142"/>
      <c r="N71" s="134"/>
      <c r="O71" s="135">
        <f>SUM(O72:O72)</f>
        <v>449.27</v>
      </c>
      <c r="P71" s="185"/>
      <c r="Q71" s="185"/>
    </row>
    <row r="72" spans="1:17" hidden="1" outlineLevel="1">
      <c r="A72" s="2">
        <v>5</v>
      </c>
      <c r="B72" s="2">
        <v>1</v>
      </c>
      <c r="C72" s="2">
        <f>1+C59</f>
        <v>7</v>
      </c>
      <c r="E72" s="20" t="str">
        <f>CONCATENATE(A72,".",B72,".",C72)</f>
        <v>5.1.7</v>
      </c>
      <c r="F72" s="120"/>
      <c r="G72" s="136"/>
      <c r="H72" s="118"/>
      <c r="I72" s="137"/>
      <c r="J72" s="143"/>
      <c r="K72" s="138"/>
      <c r="L72" s="134"/>
      <c r="M72" s="140"/>
      <c r="N72" s="134">
        <v>449.27</v>
      </c>
      <c r="O72" s="139">
        <f>ROUND(PRODUCT(J72:N72),2)</f>
        <v>449.27</v>
      </c>
      <c r="P72" s="185"/>
      <c r="Q72" s="185"/>
    </row>
    <row r="73" spans="1:17" ht="30" hidden="1" outlineLevel="1">
      <c r="E73" s="20"/>
      <c r="F73" s="120" t="s">
        <v>2840</v>
      </c>
      <c r="G73" s="113">
        <v>104918</v>
      </c>
      <c r="H73" s="114" t="s">
        <v>2012</v>
      </c>
      <c r="I73" s="115" t="s">
        <v>80</v>
      </c>
      <c r="J73" s="131"/>
      <c r="K73" s="132"/>
      <c r="L73" s="133"/>
      <c r="M73" s="142"/>
      <c r="N73" s="134"/>
      <c r="O73" s="135">
        <f>SUM(O74:O75)</f>
        <v>936.2</v>
      </c>
      <c r="P73" s="185"/>
      <c r="Q73" s="185"/>
    </row>
    <row r="74" spans="1:17" hidden="1" outlineLevel="1">
      <c r="E74" s="20"/>
      <c r="F74" s="120"/>
      <c r="G74" s="136"/>
      <c r="H74" s="118" t="s">
        <v>2823</v>
      </c>
      <c r="I74" s="137"/>
      <c r="J74" s="143"/>
      <c r="K74" s="138"/>
      <c r="L74" s="134"/>
      <c r="M74" s="140"/>
      <c r="N74" s="134">
        <f>9.45+169.3</f>
        <v>178.75</v>
      </c>
      <c r="O74" s="139">
        <f>ROUND(PRODUCT(J74:N74),2)</f>
        <v>178.75</v>
      </c>
      <c r="P74" s="185"/>
      <c r="Q74" s="185"/>
    </row>
    <row r="75" spans="1:17" hidden="1" outlineLevel="1">
      <c r="A75" s="2">
        <v>5</v>
      </c>
      <c r="B75" s="2">
        <v>1</v>
      </c>
      <c r="C75" s="2">
        <f>1+C72</f>
        <v>8</v>
      </c>
      <c r="E75" s="20" t="str">
        <f>CONCATENATE(A75,".",B75,".",C75)</f>
        <v>5.1.8</v>
      </c>
      <c r="F75" s="120"/>
      <c r="G75" s="136"/>
      <c r="H75" s="118" t="s">
        <v>2828</v>
      </c>
      <c r="I75" s="137"/>
      <c r="J75" s="143"/>
      <c r="K75" s="138"/>
      <c r="L75" s="134"/>
      <c r="M75" s="140"/>
      <c r="N75" s="134">
        <v>757.45</v>
      </c>
      <c r="O75" s="139">
        <f>ROUND(PRODUCT(J75:N75),2)</f>
        <v>757.45</v>
      </c>
      <c r="P75" s="185"/>
      <c r="Q75" s="185"/>
    </row>
    <row r="76" spans="1:17" ht="30" hidden="1" outlineLevel="1">
      <c r="E76" s="20"/>
      <c r="F76" s="120" t="s">
        <v>2841</v>
      </c>
      <c r="G76" s="113" t="s">
        <v>2014</v>
      </c>
      <c r="H76" s="114" t="s">
        <v>2015</v>
      </c>
      <c r="I76" s="115" t="s">
        <v>126</v>
      </c>
      <c r="J76" s="131"/>
      <c r="K76" s="132"/>
      <c r="L76" s="133"/>
      <c r="M76" s="132"/>
      <c r="N76" s="134"/>
      <c r="O76" s="135">
        <f>SUM(O77:O78)</f>
        <v>1136.42</v>
      </c>
      <c r="P76" s="185"/>
      <c r="Q76" s="185"/>
    </row>
    <row r="77" spans="1:17" hidden="1" outlineLevel="1">
      <c r="A77" s="2">
        <v>5</v>
      </c>
      <c r="B77" s="2">
        <v>1</v>
      </c>
      <c r="C77" s="2">
        <f>1+C75</f>
        <v>9</v>
      </c>
      <c r="E77" s="20" t="str">
        <f>CONCATENATE(A77,".",B77,".",C77)</f>
        <v>5.1.9</v>
      </c>
      <c r="F77" s="120"/>
      <c r="G77" s="136"/>
      <c r="H77" s="118" t="s">
        <v>2842</v>
      </c>
      <c r="I77" s="137"/>
      <c r="J77" s="131"/>
      <c r="K77" s="138"/>
      <c r="L77" s="134"/>
      <c r="M77" s="138"/>
      <c r="N77" s="134">
        <f>O35+O37</f>
        <v>1386.7099999999998</v>
      </c>
      <c r="O77" s="139">
        <f>ROUND(PRODUCT(J77:N77),2)</f>
        <v>1386.71</v>
      </c>
      <c r="P77" s="185"/>
      <c r="Q77" s="185"/>
    </row>
    <row r="78" spans="1:17" hidden="1" outlineLevel="1">
      <c r="E78" s="20"/>
      <c r="F78" s="120"/>
      <c r="G78" s="136"/>
      <c r="H78" s="118" t="s">
        <v>2843</v>
      </c>
      <c r="I78" s="137"/>
      <c r="J78" s="143">
        <v>-1</v>
      </c>
      <c r="K78" s="143"/>
      <c r="L78" s="143"/>
      <c r="M78" s="143"/>
      <c r="N78" s="134">
        <f>O41+O79</f>
        <v>250.29</v>
      </c>
      <c r="O78" s="144">
        <f>ROUND(PRODUCT(J78:N78),2)</f>
        <v>-250.29</v>
      </c>
      <c r="P78" s="185"/>
      <c r="Q78" s="185"/>
    </row>
    <row r="79" spans="1:17" ht="30" hidden="1" outlineLevel="1">
      <c r="A79" s="2">
        <v>5</v>
      </c>
      <c r="B79" s="2">
        <v>1</v>
      </c>
      <c r="C79" s="2">
        <f>1+C77</f>
        <v>10</v>
      </c>
      <c r="E79" s="20" t="str">
        <f>CONCATENATE(A79,".",B79,".",C79)</f>
        <v>5.1.10</v>
      </c>
      <c r="F79" s="120" t="s">
        <v>2844</v>
      </c>
      <c r="G79" s="113">
        <v>96558</v>
      </c>
      <c r="H79" s="114" t="s">
        <v>2018</v>
      </c>
      <c r="I79" s="115" t="s">
        <v>276</v>
      </c>
      <c r="J79" s="131"/>
      <c r="K79" s="132"/>
      <c r="L79" s="133"/>
      <c r="M79" s="132"/>
      <c r="N79" s="134"/>
      <c r="O79" s="135">
        <f>SUM(O80)</f>
        <v>171.42</v>
      </c>
      <c r="P79" s="185"/>
      <c r="Q79" s="185"/>
    </row>
    <row r="80" spans="1:17" hidden="1" outlineLevel="1">
      <c r="E80" s="20"/>
      <c r="F80" s="120"/>
      <c r="G80" s="136"/>
      <c r="H80" s="118"/>
      <c r="I80" s="137"/>
      <c r="J80" s="143"/>
      <c r="K80" s="138"/>
      <c r="L80" s="134"/>
      <c r="M80" s="138"/>
      <c r="N80" s="134">
        <f>155.87+15.55</f>
        <v>171.42000000000002</v>
      </c>
      <c r="O80" s="139">
        <f>ROUND(PRODUCT(J80:N80),2)</f>
        <v>171.42</v>
      </c>
      <c r="P80" s="185"/>
      <c r="Q80" s="185"/>
    </row>
    <row r="81" spans="1:17" ht="45" hidden="1" outlineLevel="1">
      <c r="A81" s="2">
        <v>5</v>
      </c>
      <c r="B81" s="2">
        <v>1</v>
      </c>
      <c r="C81" s="2">
        <f>1+C79</f>
        <v>11</v>
      </c>
      <c r="E81" s="20" t="str">
        <f>CONCATENATE(A81,".",B81,".",C81)</f>
        <v>5.1.11</v>
      </c>
      <c r="F81" s="120" t="s">
        <v>2845</v>
      </c>
      <c r="G81" s="113">
        <v>604</v>
      </c>
      <c r="H81" s="114" t="s">
        <v>2846</v>
      </c>
      <c r="I81" s="115" t="s">
        <v>276</v>
      </c>
      <c r="J81" s="131"/>
      <c r="K81" s="132"/>
      <c r="L81" s="133"/>
      <c r="M81" s="132"/>
      <c r="N81" s="134"/>
      <c r="O81" s="135">
        <f>SUM(O82)</f>
        <v>26.32</v>
      </c>
      <c r="P81" s="185"/>
      <c r="Q81" s="185"/>
    </row>
    <row r="82" spans="1:17" hidden="1" outlineLevel="1">
      <c r="E82" s="20"/>
      <c r="F82" s="120"/>
      <c r="G82" s="136"/>
      <c r="H82" s="118" t="s">
        <v>2847</v>
      </c>
      <c r="I82" s="137"/>
      <c r="J82" s="131"/>
      <c r="K82" s="138"/>
      <c r="L82" s="134"/>
      <c r="M82" s="138"/>
      <c r="N82" s="134">
        <v>26.32</v>
      </c>
      <c r="O82" s="139">
        <f>ROUND(PRODUCT(J82:N82),2)</f>
        <v>26.32</v>
      </c>
      <c r="P82" s="185"/>
      <c r="Q82" s="185"/>
    </row>
    <row r="83" spans="1:17" ht="45" hidden="1" outlineLevel="1">
      <c r="A83" s="2">
        <v>5</v>
      </c>
      <c r="B83" s="2">
        <v>1</v>
      </c>
      <c r="C83" s="2">
        <f>1+C81</f>
        <v>12</v>
      </c>
      <c r="E83" s="20" t="str">
        <f>CONCATENATE(A83,".",B83,".",C83)</f>
        <v>5.1.12</v>
      </c>
      <c r="F83" s="120" t="s">
        <v>2848</v>
      </c>
      <c r="G83" s="113">
        <v>101166</v>
      </c>
      <c r="H83" s="114" t="s">
        <v>1721</v>
      </c>
      <c r="I83" s="115" t="s">
        <v>2815</v>
      </c>
      <c r="J83" s="131"/>
      <c r="K83" s="132"/>
      <c r="L83" s="133"/>
      <c r="M83" s="132"/>
      <c r="N83" s="134"/>
      <c r="O83" s="135">
        <f>SUM(O84)</f>
        <v>7874.58</v>
      </c>
      <c r="P83" s="185"/>
      <c r="Q83" s="185"/>
    </row>
    <row r="84" spans="1:17" hidden="1" outlineLevel="1">
      <c r="E84" s="20"/>
      <c r="F84" s="21"/>
      <c r="G84" s="22"/>
      <c r="H84" s="23"/>
      <c r="I84" s="24"/>
      <c r="J84" s="46"/>
      <c r="K84" s="10"/>
      <c r="L84" s="32"/>
      <c r="M84" s="47"/>
      <c r="N84" s="165">
        <v>7874.5799999999954</v>
      </c>
      <c r="O84" s="139">
        <f>ROUND(PRODUCT(J84:N84),2)</f>
        <v>7874.58</v>
      </c>
      <c r="P84" s="185"/>
      <c r="Q84" s="185"/>
    </row>
    <row r="85" spans="1:17" collapsed="1">
      <c r="E85" s="44" t="s">
        <v>2849</v>
      </c>
      <c r="F85" s="45" t="s">
        <v>2849</v>
      </c>
      <c r="G85" s="13"/>
      <c r="H85" s="14" t="s">
        <v>76</v>
      </c>
      <c r="I85" s="15"/>
      <c r="J85" s="16"/>
      <c r="K85" s="17"/>
      <c r="L85" s="16"/>
      <c r="M85" s="17"/>
      <c r="N85" s="18"/>
      <c r="O85" s="19"/>
      <c r="P85" s="185" t="s">
        <v>2850</v>
      </c>
      <c r="Q85" s="185"/>
    </row>
    <row r="86" spans="1:17" ht="30" hidden="1" outlineLevel="1">
      <c r="A86" s="2">
        <v>5</v>
      </c>
      <c r="B86" s="2">
        <v>2</v>
      </c>
      <c r="C86" s="2">
        <v>1</v>
      </c>
      <c r="E86" s="20" t="str">
        <f>CONCATENATE(A86,".",B86,".",C86)</f>
        <v>5.2.1</v>
      </c>
      <c r="F86" s="120" t="s">
        <v>2851</v>
      </c>
      <c r="G86" s="113" t="s">
        <v>78</v>
      </c>
      <c r="H86" s="114" t="s">
        <v>79</v>
      </c>
      <c r="I86" s="115" t="s">
        <v>80</v>
      </c>
      <c r="J86" s="131"/>
      <c r="K86" s="132"/>
      <c r="L86" s="133"/>
      <c r="M86" s="132"/>
      <c r="N86" s="134"/>
      <c r="O86" s="135">
        <f>SUM(O87:O88)</f>
        <v>3632.8199999999997</v>
      </c>
      <c r="P86" s="185"/>
      <c r="Q86" s="185"/>
    </row>
    <row r="87" spans="1:17" hidden="1" outlineLevel="1">
      <c r="E87" s="20"/>
      <c r="F87" s="120"/>
      <c r="G87" s="136"/>
      <c r="H87" s="118" t="s">
        <v>2847</v>
      </c>
      <c r="I87" s="137"/>
      <c r="J87" s="146"/>
      <c r="K87" s="138"/>
      <c r="L87" s="134"/>
      <c r="M87" s="140"/>
      <c r="N87" s="134">
        <f>731.3+344.8</f>
        <v>1076.0999999999999</v>
      </c>
      <c r="O87" s="139">
        <f>ROUND(PRODUCT(J87:N87),2)</f>
        <v>1076.0999999999999</v>
      </c>
      <c r="P87" s="185"/>
      <c r="Q87" s="185"/>
    </row>
    <row r="88" spans="1:17" hidden="1" outlineLevel="1">
      <c r="E88" s="20"/>
      <c r="F88" s="120"/>
      <c r="G88" s="136"/>
      <c r="H88" s="118" t="s">
        <v>2852</v>
      </c>
      <c r="I88" s="137"/>
      <c r="J88" s="146"/>
      <c r="K88" s="138"/>
      <c r="L88" s="134"/>
      <c r="M88" s="140"/>
      <c r="N88" s="134">
        <f>2152.82+403.9</f>
        <v>2556.7200000000003</v>
      </c>
      <c r="O88" s="139">
        <f>ROUND(PRODUCT(J88:N88),2)</f>
        <v>2556.7199999999998</v>
      </c>
      <c r="P88" s="185"/>
      <c r="Q88" s="185"/>
    </row>
    <row r="89" spans="1:17" ht="30" hidden="1" outlineLevel="1">
      <c r="E89" s="20"/>
      <c r="F89" s="120" t="s">
        <v>2853</v>
      </c>
      <c r="G89" s="113" t="s">
        <v>82</v>
      </c>
      <c r="H89" s="114" t="s">
        <v>83</v>
      </c>
      <c r="I89" s="115" t="s">
        <v>80</v>
      </c>
      <c r="J89" s="147"/>
      <c r="K89" s="132"/>
      <c r="L89" s="133"/>
      <c r="M89" s="142"/>
      <c r="N89" s="134"/>
      <c r="O89" s="135">
        <f>SUM(O90:O91)</f>
        <v>2998.53</v>
      </c>
      <c r="P89" s="185"/>
      <c r="Q89" s="185"/>
    </row>
    <row r="90" spans="1:17" hidden="1" outlineLevel="1">
      <c r="E90" s="20"/>
      <c r="F90" s="120"/>
      <c r="G90" s="113"/>
      <c r="H90" s="118" t="s">
        <v>2847</v>
      </c>
      <c r="I90" s="137"/>
      <c r="J90" s="146"/>
      <c r="K90" s="138"/>
      <c r="L90" s="134"/>
      <c r="M90" s="140"/>
      <c r="N90" s="134">
        <v>21.82</v>
      </c>
      <c r="O90" s="139">
        <f>ROUND(PRODUCT(J90:N90),2)</f>
        <v>21.82</v>
      </c>
      <c r="P90" s="185"/>
      <c r="Q90" s="185"/>
    </row>
    <row r="91" spans="1:17" hidden="1" outlineLevel="1">
      <c r="A91" s="2">
        <v>5</v>
      </c>
      <c r="B91" s="2">
        <v>2</v>
      </c>
      <c r="C91" s="2">
        <f>C86+1</f>
        <v>2</v>
      </c>
      <c r="E91" s="20" t="str">
        <f>CONCATENATE(A91,".",B91,".",C91)</f>
        <v>5.2.2</v>
      </c>
      <c r="F91" s="120"/>
      <c r="G91" s="136"/>
      <c r="H91" s="118" t="s">
        <v>2852</v>
      </c>
      <c r="I91" s="137"/>
      <c r="J91" s="146"/>
      <c r="K91" s="138"/>
      <c r="L91" s="134"/>
      <c r="M91" s="140"/>
      <c r="N91" s="134">
        <f>2691.91+284.8</f>
        <v>2976.71</v>
      </c>
      <c r="O91" s="139">
        <f>ROUND(PRODUCT(J91:N91),2)</f>
        <v>2976.71</v>
      </c>
      <c r="P91" s="185"/>
      <c r="Q91" s="185"/>
    </row>
    <row r="92" spans="1:17" ht="30" hidden="1" outlineLevel="1">
      <c r="E92" s="20"/>
      <c r="F92" s="120" t="s">
        <v>2854</v>
      </c>
      <c r="G92" s="113">
        <v>92761</v>
      </c>
      <c r="H92" s="114" t="s">
        <v>86</v>
      </c>
      <c r="I92" s="115" t="s">
        <v>80</v>
      </c>
      <c r="J92" s="147"/>
      <c r="K92" s="132"/>
      <c r="L92" s="133"/>
      <c r="M92" s="142"/>
      <c r="N92" s="134"/>
      <c r="O92" s="135">
        <f>SUM(O93:O94)</f>
        <v>3027.56</v>
      </c>
      <c r="P92" s="185"/>
      <c r="Q92" s="185"/>
    </row>
    <row r="93" spans="1:17" hidden="1" outlineLevel="1">
      <c r="E93" s="20"/>
      <c r="F93" s="120"/>
      <c r="G93" s="113"/>
      <c r="H93" s="118" t="s">
        <v>2847</v>
      </c>
      <c r="I93" s="137"/>
      <c r="J93" s="146"/>
      <c r="K93" s="138"/>
      <c r="L93" s="134"/>
      <c r="M93" s="140"/>
      <c r="N93" s="134">
        <v>30.73</v>
      </c>
      <c r="O93" s="139">
        <f>ROUND(PRODUCT(J93:N93),2)</f>
        <v>30.73</v>
      </c>
      <c r="P93" s="185"/>
      <c r="Q93" s="185"/>
    </row>
    <row r="94" spans="1:17" hidden="1" outlineLevel="1">
      <c r="E94" s="20"/>
      <c r="F94" s="120"/>
      <c r="G94" s="136"/>
      <c r="H94" s="118" t="s">
        <v>2852</v>
      </c>
      <c r="I94" s="137"/>
      <c r="J94" s="146"/>
      <c r="K94" s="138"/>
      <c r="L94" s="134"/>
      <c r="M94" s="140"/>
      <c r="N94" s="134">
        <f>1483.73+1513.1</f>
        <v>2996.83</v>
      </c>
      <c r="O94" s="139">
        <f>ROUND(PRODUCT(J94:N94),2)</f>
        <v>2996.83</v>
      </c>
      <c r="P94" s="185"/>
      <c r="Q94" s="185"/>
    </row>
    <row r="95" spans="1:17" ht="30" hidden="1" outlineLevel="1">
      <c r="A95" s="2">
        <v>5</v>
      </c>
      <c r="B95" s="2">
        <v>2</v>
      </c>
      <c r="C95" s="2">
        <f>1+C91</f>
        <v>3</v>
      </c>
      <c r="E95" s="20" t="str">
        <f>CONCATENATE(A95,".",B95,".",C95)</f>
        <v>5.2.3</v>
      </c>
      <c r="F95" s="120" t="s">
        <v>2855</v>
      </c>
      <c r="G95" s="113" t="s">
        <v>88</v>
      </c>
      <c r="H95" s="114" t="s">
        <v>89</v>
      </c>
      <c r="I95" s="115" t="s">
        <v>80</v>
      </c>
      <c r="J95" s="147"/>
      <c r="K95" s="132"/>
      <c r="L95" s="133"/>
      <c r="M95" s="142"/>
      <c r="N95" s="134"/>
      <c r="O95" s="135">
        <f>SUM(O96:O97)</f>
        <v>6129.55</v>
      </c>
      <c r="P95" s="185"/>
      <c r="Q95" s="185"/>
    </row>
    <row r="96" spans="1:17" hidden="1" outlineLevel="1">
      <c r="E96" s="20"/>
      <c r="F96" s="120"/>
      <c r="G96" s="136"/>
      <c r="H96" s="118" t="s">
        <v>2847</v>
      </c>
      <c r="I96" s="137"/>
      <c r="J96" s="146"/>
      <c r="K96" s="138"/>
      <c r="L96" s="134"/>
      <c r="M96" s="140"/>
      <c r="N96" s="134">
        <f>2167.27+716.9</f>
        <v>2884.17</v>
      </c>
      <c r="O96" s="139">
        <f>ROUND(PRODUCT(J96:N96),2)</f>
        <v>2884.17</v>
      </c>
      <c r="P96" s="185"/>
      <c r="Q96" s="185"/>
    </row>
    <row r="97" spans="1:17" hidden="1" outlineLevel="1">
      <c r="A97" s="2">
        <v>5</v>
      </c>
      <c r="B97" s="2">
        <v>2</v>
      </c>
      <c r="C97" s="2">
        <f>1+C95</f>
        <v>4</v>
      </c>
      <c r="E97" s="20" t="str">
        <f>CONCATENATE(A97,".",B97,".",C97)</f>
        <v>5.2.4</v>
      </c>
      <c r="F97" s="120"/>
      <c r="G97" s="136"/>
      <c r="H97" s="118" t="s">
        <v>2852</v>
      </c>
      <c r="I97" s="137"/>
      <c r="J97" s="146"/>
      <c r="K97" s="138"/>
      <c r="L97" s="134"/>
      <c r="M97" s="140"/>
      <c r="N97" s="134">
        <f>2612.18+633.2</f>
        <v>3245.38</v>
      </c>
      <c r="O97" s="139">
        <f>ROUND(PRODUCT(J97:N97),2)</f>
        <v>3245.38</v>
      </c>
      <c r="P97" s="185"/>
      <c r="Q97" s="185"/>
    </row>
    <row r="98" spans="1:17" ht="30" hidden="1" outlineLevel="1">
      <c r="E98" s="20"/>
      <c r="F98" s="120" t="s">
        <v>2856</v>
      </c>
      <c r="G98" s="113" t="s">
        <v>91</v>
      </c>
      <c r="H98" s="114" t="s">
        <v>92</v>
      </c>
      <c r="I98" s="115" t="s">
        <v>80</v>
      </c>
      <c r="J98" s="147"/>
      <c r="K98" s="132"/>
      <c r="L98" s="133"/>
      <c r="M98" s="142"/>
      <c r="N98" s="134"/>
      <c r="O98" s="135">
        <f>SUM(O99:O100)</f>
        <v>5567.32</v>
      </c>
      <c r="P98" s="185"/>
      <c r="Q98" s="185"/>
    </row>
    <row r="99" spans="1:17" hidden="1" outlineLevel="1">
      <c r="E99" s="20"/>
      <c r="F99" s="120"/>
      <c r="G99" s="136"/>
      <c r="H99" s="118" t="s">
        <v>2847</v>
      </c>
      <c r="I99" s="137"/>
      <c r="J99" s="146"/>
      <c r="K99" s="138"/>
      <c r="L99" s="134"/>
      <c r="M99" s="140"/>
      <c r="N99" s="134">
        <f>3240.45+72.5</f>
        <v>3312.95</v>
      </c>
      <c r="O99" s="139">
        <f>ROUND(PRODUCT(J99:N99),2)</f>
        <v>3312.95</v>
      </c>
      <c r="P99" s="185"/>
      <c r="Q99" s="185"/>
    </row>
    <row r="100" spans="1:17" hidden="1" outlineLevel="1">
      <c r="E100" s="20"/>
      <c r="F100" s="120"/>
      <c r="G100" s="136"/>
      <c r="H100" s="118" t="s">
        <v>2852</v>
      </c>
      <c r="I100" s="137"/>
      <c r="J100" s="146"/>
      <c r="K100" s="138"/>
      <c r="L100" s="134"/>
      <c r="M100" s="140"/>
      <c r="N100" s="134">
        <f>1856.27+398.1</f>
        <v>2254.37</v>
      </c>
      <c r="O100" s="139">
        <f>ROUND(PRODUCT(J100:N100),2)</f>
        <v>2254.37</v>
      </c>
      <c r="P100" s="185"/>
      <c r="Q100" s="185"/>
    </row>
    <row r="101" spans="1:17" ht="30" hidden="1" outlineLevel="1">
      <c r="A101" s="2">
        <v>5</v>
      </c>
      <c r="B101" s="2">
        <v>2</v>
      </c>
      <c r="C101" s="2">
        <f>1+C97</f>
        <v>5</v>
      </c>
      <c r="E101" s="20" t="str">
        <f>CONCATENATE(A101,".",B101,".",C101)</f>
        <v>5.2.5</v>
      </c>
      <c r="F101" s="120" t="s">
        <v>2857</v>
      </c>
      <c r="G101" s="113">
        <v>92764</v>
      </c>
      <c r="H101" s="114" t="s">
        <v>95</v>
      </c>
      <c r="I101" s="115" t="s">
        <v>80</v>
      </c>
      <c r="J101" s="147"/>
      <c r="K101" s="132"/>
      <c r="L101" s="133"/>
      <c r="M101" s="142"/>
      <c r="N101" s="134"/>
      <c r="O101" s="135">
        <f>SUM(O102:O103)</f>
        <v>4970.7</v>
      </c>
      <c r="P101" s="185"/>
      <c r="Q101" s="185"/>
    </row>
    <row r="102" spans="1:17" hidden="1" outlineLevel="1">
      <c r="E102" s="20"/>
      <c r="F102" s="120"/>
      <c r="G102" s="136"/>
      <c r="H102" s="118" t="s">
        <v>2847</v>
      </c>
      <c r="I102" s="137"/>
      <c r="J102" s="146"/>
      <c r="K102" s="138"/>
      <c r="L102" s="134"/>
      <c r="M102" s="140"/>
      <c r="N102" s="134">
        <v>1641.31</v>
      </c>
      <c r="O102" s="139">
        <f>ROUND(PRODUCT(J102:N102),2)</f>
        <v>1641.31</v>
      </c>
      <c r="P102" s="185"/>
      <c r="Q102" s="185"/>
    </row>
    <row r="103" spans="1:17" hidden="1" outlineLevel="1">
      <c r="E103" s="20"/>
      <c r="F103" s="120"/>
      <c r="G103" s="136"/>
      <c r="H103" s="118" t="s">
        <v>2852</v>
      </c>
      <c r="I103" s="137"/>
      <c r="J103" s="146"/>
      <c r="K103" s="138"/>
      <c r="L103" s="134"/>
      <c r="M103" s="140"/>
      <c r="N103" s="134">
        <f>3162.09+167.3</f>
        <v>3329.3900000000003</v>
      </c>
      <c r="O103" s="139">
        <f>ROUND(PRODUCT(J103:N103),2)</f>
        <v>3329.39</v>
      </c>
      <c r="P103" s="185"/>
      <c r="Q103" s="185"/>
    </row>
    <row r="104" spans="1:17" ht="30" hidden="1" outlineLevel="1">
      <c r="A104" s="2">
        <v>5</v>
      </c>
      <c r="B104" s="2">
        <v>2</v>
      </c>
      <c r="C104" s="2">
        <f>1+C101</f>
        <v>6</v>
      </c>
      <c r="E104" s="20" t="str">
        <f>CONCATENATE(A104,".",B104,".",C104)</f>
        <v>5.2.6</v>
      </c>
      <c r="F104" s="120" t="s">
        <v>2858</v>
      </c>
      <c r="G104" s="113" t="s">
        <v>97</v>
      </c>
      <c r="H104" s="114" t="s">
        <v>98</v>
      </c>
      <c r="I104" s="115" t="s">
        <v>80</v>
      </c>
      <c r="J104" s="147"/>
      <c r="K104" s="132"/>
      <c r="L104" s="133"/>
      <c r="M104" s="142"/>
      <c r="N104" s="134"/>
      <c r="O104" s="135">
        <f>SUM(O105:O106)</f>
        <v>10701.51</v>
      </c>
      <c r="P104" s="185"/>
      <c r="Q104" s="185"/>
    </row>
    <row r="105" spans="1:17" hidden="1" outlineLevel="1">
      <c r="E105" s="20"/>
      <c r="F105" s="120"/>
      <c r="G105" s="136"/>
      <c r="H105" s="118" t="s">
        <v>2847</v>
      </c>
      <c r="I105" s="137"/>
      <c r="J105" s="146"/>
      <c r="K105" s="138"/>
      <c r="L105" s="134"/>
      <c r="M105" s="140"/>
      <c r="N105" s="134">
        <v>1360.66</v>
      </c>
      <c r="O105" s="139">
        <f>ROUND(PRODUCT(J105:N105),2)</f>
        <v>1360.66</v>
      </c>
      <c r="P105" s="185"/>
      <c r="Q105" s="185"/>
    </row>
    <row r="106" spans="1:17" hidden="1" outlineLevel="1">
      <c r="E106" s="20"/>
      <c r="F106" s="120"/>
      <c r="G106" s="136"/>
      <c r="H106" s="118" t="s">
        <v>2852</v>
      </c>
      <c r="I106" s="137"/>
      <c r="J106" s="146"/>
      <c r="K106" s="138"/>
      <c r="L106" s="134"/>
      <c r="M106" s="140"/>
      <c r="N106" s="134">
        <f>7857.45+1483.4</f>
        <v>9340.85</v>
      </c>
      <c r="O106" s="139">
        <f>ROUND(PRODUCT(J106:N106),2)</f>
        <v>9340.85</v>
      </c>
      <c r="P106" s="185"/>
      <c r="Q106" s="185"/>
    </row>
    <row r="107" spans="1:17" ht="45" hidden="1" outlineLevel="1">
      <c r="A107" s="2">
        <v>5</v>
      </c>
      <c r="B107" s="2">
        <v>2</v>
      </c>
      <c r="C107" s="2">
        <f>1+C104</f>
        <v>7</v>
      </c>
      <c r="E107" s="20" t="str">
        <f>CONCATENATE(A107,".",B107,".",C107)</f>
        <v>5.2.7</v>
      </c>
      <c r="F107" s="120" t="s">
        <v>2859</v>
      </c>
      <c r="G107" s="113">
        <v>92443</v>
      </c>
      <c r="H107" s="114" t="s">
        <v>101</v>
      </c>
      <c r="I107" s="115" t="s">
        <v>276</v>
      </c>
      <c r="J107" s="147"/>
      <c r="K107" s="132"/>
      <c r="L107" s="133"/>
      <c r="M107" s="142"/>
      <c r="N107" s="134"/>
      <c r="O107" s="135">
        <f>SUM(O108)</f>
        <v>1665.93</v>
      </c>
      <c r="P107" s="185"/>
      <c r="Q107" s="185"/>
    </row>
    <row r="108" spans="1:17" hidden="1" outlineLevel="1">
      <c r="E108" s="20"/>
      <c r="F108" s="120"/>
      <c r="G108" s="136"/>
      <c r="H108" s="118" t="s">
        <v>2847</v>
      </c>
      <c r="I108" s="137"/>
      <c r="J108" s="146"/>
      <c r="K108" s="138"/>
      <c r="L108" s="134"/>
      <c r="M108" s="140"/>
      <c r="N108" s="134">
        <f>1402.07+263.86</f>
        <v>1665.9299999999998</v>
      </c>
      <c r="O108" s="139">
        <f>ROUND(PRODUCT(J108:N108),2)</f>
        <v>1665.93</v>
      </c>
      <c r="P108" s="185"/>
      <c r="Q108" s="185"/>
    </row>
    <row r="109" spans="1:17" ht="45" hidden="1" outlineLevel="1">
      <c r="A109" s="2">
        <v>5</v>
      </c>
      <c r="B109" s="2">
        <v>2</v>
      </c>
      <c r="C109" s="2">
        <f>1+C107</f>
        <v>8</v>
      </c>
      <c r="E109" s="20" t="str">
        <f>CONCATENATE(A109,".",B109,".",C109)</f>
        <v>5.2.8</v>
      </c>
      <c r="F109" s="120" t="s">
        <v>2860</v>
      </c>
      <c r="G109" s="113">
        <v>92479</v>
      </c>
      <c r="H109" s="114" t="s">
        <v>104</v>
      </c>
      <c r="I109" s="115" t="s">
        <v>276</v>
      </c>
      <c r="J109" s="147"/>
      <c r="K109" s="132"/>
      <c r="L109" s="133"/>
      <c r="M109" s="142"/>
      <c r="N109" s="134"/>
      <c r="O109" s="135">
        <f>SUM(O110)</f>
        <v>2882.13</v>
      </c>
      <c r="P109" s="185"/>
      <c r="Q109" s="185"/>
    </row>
    <row r="110" spans="1:17" hidden="1" outlineLevel="1">
      <c r="E110" s="20"/>
      <c r="F110" s="120"/>
      <c r="G110" s="136"/>
      <c r="H110" s="118"/>
      <c r="I110" s="137"/>
      <c r="J110" s="146"/>
      <c r="K110" s="138"/>
      <c r="L110" s="134"/>
      <c r="M110" s="138"/>
      <c r="N110" s="134">
        <f>2420.71+461.42</f>
        <v>2882.13</v>
      </c>
      <c r="O110" s="139">
        <f>ROUND(PRODUCT(J110:N110),2)</f>
        <v>2882.13</v>
      </c>
      <c r="P110" s="185"/>
      <c r="Q110" s="185"/>
    </row>
    <row r="111" spans="1:17" ht="30" hidden="1" outlineLevel="1">
      <c r="A111" s="2">
        <v>5</v>
      </c>
      <c r="B111" s="2">
        <v>2</v>
      </c>
      <c r="C111" s="2">
        <f>1+C109</f>
        <v>9</v>
      </c>
      <c r="E111" s="20" t="str">
        <f>CONCATENATE(A111,".",B111,".",C111)</f>
        <v>5.2.9</v>
      </c>
      <c r="F111" s="120" t="s">
        <v>2861</v>
      </c>
      <c r="G111" s="113" t="s">
        <v>106</v>
      </c>
      <c r="H111" s="114" t="s">
        <v>107</v>
      </c>
      <c r="I111" s="115" t="s">
        <v>80</v>
      </c>
      <c r="J111" s="131"/>
      <c r="K111" s="132"/>
      <c r="L111" s="133"/>
      <c r="M111" s="132"/>
      <c r="N111" s="134"/>
      <c r="O111" s="135">
        <f>SUM(O112:O112)</f>
        <v>5806.45</v>
      </c>
      <c r="P111" s="185"/>
      <c r="Q111" s="185"/>
    </row>
    <row r="112" spans="1:17" hidden="1" outlineLevel="1">
      <c r="E112" s="20"/>
      <c r="F112" s="120"/>
      <c r="G112" s="136"/>
      <c r="H112" s="118"/>
      <c r="I112" s="137"/>
      <c r="J112" s="146"/>
      <c r="K112" s="138"/>
      <c r="L112" s="134"/>
      <c r="M112" s="138"/>
      <c r="N112" s="134">
        <f>4900.55+905.9</f>
        <v>5806.45</v>
      </c>
      <c r="O112" s="139">
        <f>ROUND(PRODUCT(J112:N112),2)</f>
        <v>5806.45</v>
      </c>
      <c r="P112" s="185"/>
      <c r="Q112" s="185"/>
    </row>
    <row r="113" spans="1:17" ht="30" hidden="1" outlineLevel="1">
      <c r="A113" s="2">
        <v>5</v>
      </c>
      <c r="B113" s="2">
        <v>2</v>
      </c>
      <c r="C113" s="2">
        <f>1+C111</f>
        <v>10</v>
      </c>
      <c r="E113" s="20" t="str">
        <f>CONCATENATE(A113,".",B113,".",C113)</f>
        <v>5.2.10</v>
      </c>
      <c r="F113" s="120" t="s">
        <v>2862</v>
      </c>
      <c r="G113" s="113" t="s">
        <v>109</v>
      </c>
      <c r="H113" s="114" t="s">
        <v>110</v>
      </c>
      <c r="I113" s="115" t="s">
        <v>80</v>
      </c>
      <c r="J113" s="131"/>
      <c r="K113" s="132"/>
      <c r="L113" s="133"/>
      <c r="M113" s="132"/>
      <c r="N113" s="134"/>
      <c r="O113" s="135">
        <f>SUM(O114:O114)</f>
        <v>1537.17</v>
      </c>
      <c r="P113" s="185"/>
      <c r="Q113" s="185"/>
    </row>
    <row r="114" spans="1:17" hidden="1" outlineLevel="1">
      <c r="E114" s="20"/>
      <c r="F114" s="120"/>
      <c r="G114" s="136"/>
      <c r="H114" s="118"/>
      <c r="I114" s="137"/>
      <c r="J114" s="146"/>
      <c r="K114" s="138"/>
      <c r="L114" s="134"/>
      <c r="M114" s="138"/>
      <c r="N114" s="134">
        <f>1333.27+203.9</f>
        <v>1537.17</v>
      </c>
      <c r="O114" s="139">
        <f>ROUND(PRODUCT(J114:N114),2)</f>
        <v>1537.17</v>
      </c>
      <c r="P114" s="185"/>
      <c r="Q114" s="185"/>
    </row>
    <row r="115" spans="1:17" ht="30" hidden="1" outlineLevel="1">
      <c r="E115" s="20"/>
      <c r="F115" s="120" t="s">
        <v>2863</v>
      </c>
      <c r="G115" s="113" t="s">
        <v>112</v>
      </c>
      <c r="H115" s="114" t="s">
        <v>113</v>
      </c>
      <c r="I115" s="115" t="s">
        <v>80</v>
      </c>
      <c r="J115" s="131"/>
      <c r="K115" s="132"/>
      <c r="L115" s="133"/>
      <c r="M115" s="132"/>
      <c r="N115" s="134"/>
      <c r="O115" s="135">
        <f>SUM(O116)</f>
        <v>1517.11</v>
      </c>
      <c r="P115" s="185"/>
      <c r="Q115" s="185"/>
    </row>
    <row r="116" spans="1:17" hidden="1" outlineLevel="1">
      <c r="E116" s="20"/>
      <c r="F116" s="120"/>
      <c r="G116" s="136"/>
      <c r="H116" s="118"/>
      <c r="I116" s="137"/>
      <c r="J116" s="146"/>
      <c r="K116" s="138"/>
      <c r="L116" s="134"/>
      <c r="M116" s="138"/>
      <c r="N116" s="134">
        <f>225.91+1291.2</f>
        <v>1517.1100000000001</v>
      </c>
      <c r="O116" s="139">
        <f>ROUND(PRODUCT(J116:N116),2)</f>
        <v>1517.11</v>
      </c>
      <c r="P116" s="185"/>
      <c r="Q116" s="185"/>
    </row>
    <row r="117" spans="1:17" ht="30" hidden="1" outlineLevel="1">
      <c r="E117" s="20"/>
      <c r="F117" s="120" t="s">
        <v>2864</v>
      </c>
      <c r="G117" s="113" t="s">
        <v>115</v>
      </c>
      <c r="H117" s="114" t="s">
        <v>116</v>
      </c>
      <c r="I117" s="115" t="s">
        <v>80</v>
      </c>
      <c r="J117" s="131"/>
      <c r="K117" s="132"/>
      <c r="L117" s="133"/>
      <c r="M117" s="132"/>
      <c r="N117" s="134"/>
      <c r="O117" s="135">
        <f>SUM(O118:O118)</f>
        <v>10471.69</v>
      </c>
      <c r="P117" s="185"/>
      <c r="Q117" s="185"/>
    </row>
    <row r="118" spans="1:17" hidden="1" outlineLevel="1">
      <c r="E118" s="20"/>
      <c r="F118" s="120"/>
      <c r="G118" s="136"/>
      <c r="H118" s="118"/>
      <c r="I118" s="137"/>
      <c r="J118" s="146"/>
      <c r="K118" s="138"/>
      <c r="L118" s="134"/>
      <c r="M118" s="138"/>
      <c r="N118" s="134">
        <f>10309.09+162.6</f>
        <v>10471.69</v>
      </c>
      <c r="O118" s="139">
        <f>ROUND(PRODUCT(J118:N118),2)</f>
        <v>10471.69</v>
      </c>
      <c r="P118" s="185"/>
      <c r="Q118" s="185"/>
    </row>
    <row r="119" spans="1:17" ht="30" hidden="1" outlineLevel="1">
      <c r="E119" s="20"/>
      <c r="F119" s="120" t="s">
        <v>2865</v>
      </c>
      <c r="G119" s="113">
        <v>92768</v>
      </c>
      <c r="H119" s="114" t="s">
        <v>119</v>
      </c>
      <c r="I119" s="115" t="s">
        <v>276</v>
      </c>
      <c r="J119" s="131"/>
      <c r="K119" s="132"/>
      <c r="L119" s="133"/>
      <c r="M119" s="132"/>
      <c r="N119" s="134"/>
      <c r="O119" s="135">
        <f>SUM(O120:O120)</f>
        <v>945.73</v>
      </c>
      <c r="P119" s="185"/>
      <c r="Q119" s="185"/>
    </row>
    <row r="120" spans="1:17" hidden="1" outlineLevel="1">
      <c r="E120" s="20"/>
      <c r="F120" s="120"/>
      <c r="G120" s="136"/>
      <c r="H120" s="118"/>
      <c r="I120" s="137"/>
      <c r="J120" s="143"/>
      <c r="K120" s="138"/>
      <c r="L120" s="134"/>
      <c r="M120" s="138"/>
      <c r="N120" s="134">
        <v>945.73</v>
      </c>
      <c r="O120" s="139">
        <f>ROUND(PRODUCT(J120:N120),2)</f>
        <v>945.73</v>
      </c>
      <c r="P120" s="185"/>
      <c r="Q120" s="185"/>
    </row>
    <row r="121" spans="1:17" ht="30" hidden="1" outlineLevel="1">
      <c r="E121" s="20"/>
      <c r="F121" s="120" t="s">
        <v>2866</v>
      </c>
      <c r="G121" s="113">
        <v>92538</v>
      </c>
      <c r="H121" s="114" t="s">
        <v>122</v>
      </c>
      <c r="I121" s="115" t="s">
        <v>45</v>
      </c>
      <c r="J121" s="131"/>
      <c r="K121" s="132"/>
      <c r="L121" s="133"/>
      <c r="M121" s="132"/>
      <c r="N121" s="134"/>
      <c r="O121" s="135">
        <f>SUM(O122)</f>
        <v>2802.64</v>
      </c>
      <c r="P121" s="185"/>
      <c r="Q121" s="185"/>
    </row>
    <row r="122" spans="1:17" hidden="1" outlineLevel="1">
      <c r="E122" s="20"/>
      <c r="F122" s="120"/>
      <c r="G122" s="136"/>
      <c r="H122" s="118" t="s">
        <v>2867</v>
      </c>
      <c r="I122" s="137"/>
      <c r="J122" s="143"/>
      <c r="K122" s="138"/>
      <c r="L122" s="134"/>
      <c r="M122" s="138"/>
      <c r="N122" s="138">
        <f>2468.84+333.8</f>
        <v>2802.6400000000003</v>
      </c>
      <c r="O122" s="139">
        <f>ROUND(PRODUCT(J122:N122),2)</f>
        <v>2802.64</v>
      </c>
      <c r="P122" s="185"/>
      <c r="Q122" s="185"/>
    </row>
    <row r="123" spans="1:17" ht="45" hidden="1" outlineLevel="1">
      <c r="E123" s="20"/>
      <c r="F123" s="120" t="s">
        <v>2868</v>
      </c>
      <c r="G123" s="113">
        <v>604</v>
      </c>
      <c r="H123" s="114" t="s">
        <v>2846</v>
      </c>
      <c r="I123" s="115" t="s">
        <v>2815</v>
      </c>
      <c r="J123" s="131"/>
      <c r="K123" s="132"/>
      <c r="L123" s="133"/>
      <c r="M123" s="132"/>
      <c r="N123" s="134"/>
      <c r="O123" s="135">
        <f>SUM(O124:O126)</f>
        <v>923.77</v>
      </c>
      <c r="P123" s="185"/>
      <c r="Q123" s="185"/>
    </row>
    <row r="124" spans="1:17" hidden="1" outlineLevel="1">
      <c r="E124" s="20"/>
      <c r="F124" s="21"/>
      <c r="G124" s="34"/>
      <c r="H124" s="30" t="s">
        <v>2869</v>
      </c>
      <c r="I124" s="35"/>
      <c r="J124" s="40"/>
      <c r="K124" s="33"/>
      <c r="L124" s="41"/>
      <c r="M124" s="33"/>
      <c r="N124" s="33">
        <f>120.68+15.75</f>
        <v>136.43</v>
      </c>
      <c r="O124" s="31">
        <f>ROUND(PRODUCT(J124:N124),2)</f>
        <v>136.43</v>
      </c>
      <c r="P124" s="185"/>
      <c r="Q124" s="185"/>
    </row>
    <row r="125" spans="1:17" hidden="1" outlineLevel="1">
      <c r="E125" s="20"/>
      <c r="F125" s="21"/>
      <c r="G125" s="34"/>
      <c r="H125" s="30" t="s">
        <v>2870</v>
      </c>
      <c r="I125" s="35"/>
      <c r="J125" s="40"/>
      <c r="K125" s="33"/>
      <c r="L125" s="41"/>
      <c r="M125" s="33"/>
      <c r="N125" s="33">
        <f>246.47+43.07</f>
        <v>289.54000000000002</v>
      </c>
      <c r="O125" s="31">
        <f>ROUND(PRODUCT(J125:N125),2)</f>
        <v>289.54000000000002</v>
      </c>
      <c r="P125" s="185"/>
      <c r="Q125" s="185"/>
    </row>
    <row r="126" spans="1:17" hidden="1" outlineLevel="1">
      <c r="A126" s="2">
        <v>5</v>
      </c>
      <c r="B126" s="2">
        <v>2</v>
      </c>
      <c r="C126" s="2" t="e">
        <f>1+#REF!</f>
        <v>#REF!</v>
      </c>
      <c r="E126" s="20" t="e">
        <f>CONCATENATE(A126,".",B126,".",C126)</f>
        <v>#REF!</v>
      </c>
      <c r="F126" s="21"/>
      <c r="G126" s="34"/>
      <c r="H126" s="30" t="s">
        <v>2867</v>
      </c>
      <c r="I126" s="35"/>
      <c r="J126" s="40"/>
      <c r="K126" s="33"/>
      <c r="L126" s="41"/>
      <c r="M126" s="33"/>
      <c r="N126" s="33">
        <f>457.74+40.06</f>
        <v>497.8</v>
      </c>
      <c r="O126" s="31">
        <f>ROUND(PRODUCT(J126:N126),2)</f>
        <v>497.8</v>
      </c>
      <c r="P126" s="185"/>
      <c r="Q126" s="185"/>
    </row>
    <row r="127" spans="1:17" collapsed="1">
      <c r="E127" s="52" t="s">
        <v>2871</v>
      </c>
      <c r="F127" s="53" t="s">
        <v>2871</v>
      </c>
      <c r="G127" s="13"/>
      <c r="H127" s="14" t="s">
        <v>134</v>
      </c>
      <c r="I127" s="15"/>
      <c r="J127" s="16"/>
      <c r="K127" s="17"/>
      <c r="L127" s="16"/>
      <c r="M127" s="17"/>
      <c r="N127" s="18"/>
      <c r="O127" s="19"/>
      <c r="P127" s="185"/>
      <c r="Q127" s="185"/>
    </row>
    <row r="128" spans="1:17" ht="45" hidden="1" outlineLevel="1">
      <c r="A128" s="2">
        <v>5</v>
      </c>
      <c r="B128" s="2">
        <v>3</v>
      </c>
      <c r="C128" s="2">
        <v>1</v>
      </c>
      <c r="E128" s="54" t="str">
        <f>CONCATENATE(A128,".",B128,".",C128)</f>
        <v>5.3.1</v>
      </c>
      <c r="F128" s="21" t="s">
        <v>2872</v>
      </c>
      <c r="G128" s="22">
        <v>103356</v>
      </c>
      <c r="H128" s="109" t="s">
        <v>137</v>
      </c>
      <c r="I128" s="24" t="s">
        <v>45</v>
      </c>
      <c r="J128" s="25"/>
      <c r="K128" s="10"/>
      <c r="L128" s="32"/>
      <c r="M128" s="10"/>
      <c r="N128" s="33"/>
      <c r="O128" s="27">
        <f>SUM(O130:O244)</f>
        <v>3692.809999999999</v>
      </c>
      <c r="P128" s="185"/>
      <c r="Q128" s="185"/>
    </row>
    <row r="129" spans="5:17" hidden="1" outlineLevel="2">
      <c r="E129" s="20"/>
      <c r="F129" s="21"/>
      <c r="G129" s="22"/>
      <c r="H129" s="24" t="s">
        <v>2873</v>
      </c>
      <c r="I129" s="24"/>
      <c r="J129" s="25"/>
      <c r="K129" s="10"/>
      <c r="L129" s="32"/>
      <c r="M129" s="91"/>
      <c r="N129" s="33"/>
      <c r="O129" s="31">
        <f>ROUND(PRODUCT(J129:N129),2)</f>
        <v>0</v>
      </c>
      <c r="P129" s="185"/>
      <c r="Q129" s="185"/>
    </row>
    <row r="130" spans="5:17" hidden="1" outlineLevel="2">
      <c r="E130" s="20"/>
      <c r="F130" s="21"/>
      <c r="G130" s="22"/>
      <c r="H130" s="105" t="s">
        <v>2874</v>
      </c>
      <c r="I130" s="55"/>
      <c r="J130" s="56"/>
      <c r="K130" s="57">
        <f>9.45+9.45+6.85+6.85+1.98+2.75+3.23</f>
        <v>40.559999999999995</v>
      </c>
      <c r="L130" s="57"/>
      <c r="M130" s="57">
        <v>3.55</v>
      </c>
      <c r="N130" s="38"/>
      <c r="O130" s="58">
        <f t="shared" ref="O130:O149" si="1">ROUND(PRODUCT(J130:N130),2)</f>
        <v>143.99</v>
      </c>
      <c r="P130" s="185"/>
      <c r="Q130" s="185"/>
    </row>
    <row r="131" spans="5:17" hidden="1" outlineLevel="2">
      <c r="E131" s="20"/>
      <c r="F131" s="21"/>
      <c r="G131" s="22"/>
      <c r="H131" s="30" t="str">
        <f>CONCATENATE(H130," - ","VÃO")</f>
        <v>RECEPÇÃO SECRETARIA - VÃO</v>
      </c>
      <c r="I131" s="55"/>
      <c r="J131" s="56">
        <v>-1</v>
      </c>
      <c r="K131" s="57"/>
      <c r="L131" s="57"/>
      <c r="M131" s="57"/>
      <c r="N131" s="38">
        <f>1.2*1.35*2+0.9*2.1*2+3.81*0.46+1.92*0.46+3.81*1.26+1.92*0.66</f>
        <v>15.723600000000003</v>
      </c>
      <c r="O131" s="58">
        <f t="shared" si="1"/>
        <v>-15.72</v>
      </c>
      <c r="P131" s="185"/>
      <c r="Q131" s="185"/>
    </row>
    <row r="132" spans="5:17" hidden="1" outlineLevel="2">
      <c r="E132" s="20"/>
      <c r="F132" s="21"/>
      <c r="G132" s="22"/>
      <c r="H132" s="105" t="s">
        <v>2875</v>
      </c>
      <c r="I132" s="55"/>
      <c r="J132" s="56"/>
      <c r="K132" s="57">
        <f>4.05+4.05+3.65</f>
        <v>11.75</v>
      </c>
      <c r="L132" s="57"/>
      <c r="M132" s="57">
        <v>3.55</v>
      </c>
      <c r="N132" s="38"/>
      <c r="O132" s="58">
        <f t="shared" si="1"/>
        <v>41.71</v>
      </c>
      <c r="P132" s="185"/>
      <c r="Q132" s="185"/>
    </row>
    <row r="133" spans="5:17" hidden="1" outlineLevel="2">
      <c r="E133" s="20"/>
      <c r="F133" s="21"/>
      <c r="G133" s="22"/>
      <c r="H133" s="30" t="str">
        <f>CONCATENATE(H132," - ","VÃO")</f>
        <v>COORD. PEDAGÓGICA - VÃO</v>
      </c>
      <c r="I133" s="55"/>
      <c r="J133" s="56">
        <v>-1</v>
      </c>
      <c r="K133" s="57"/>
      <c r="L133" s="57"/>
      <c r="M133" s="57"/>
      <c r="N133" s="38">
        <f>3.81*1.26+0.9*2.1</f>
        <v>6.6905999999999999</v>
      </c>
      <c r="O133" s="58">
        <f t="shared" si="1"/>
        <v>-6.69</v>
      </c>
      <c r="P133" s="185"/>
      <c r="Q133" s="185"/>
    </row>
    <row r="134" spans="5:17" hidden="1" outlineLevel="2">
      <c r="E134" s="20"/>
      <c r="F134" s="21"/>
      <c r="G134" s="22"/>
      <c r="H134" s="105" t="s">
        <v>2876</v>
      </c>
      <c r="I134" s="55"/>
      <c r="J134" s="56"/>
      <c r="K134" s="57">
        <f>4.05+3.5</f>
        <v>7.55</v>
      </c>
      <c r="L134" s="57"/>
      <c r="M134" s="57">
        <v>3.55</v>
      </c>
      <c r="N134" s="38"/>
      <c r="O134" s="58">
        <f t="shared" si="1"/>
        <v>26.8</v>
      </c>
      <c r="P134" s="185"/>
      <c r="Q134" s="185"/>
    </row>
    <row r="135" spans="5:17" hidden="1" outlineLevel="2">
      <c r="E135" s="20"/>
      <c r="F135" s="21"/>
      <c r="G135" s="22"/>
      <c r="H135" s="30" t="str">
        <f>CONCATENATE(H134," - ","VÃO")</f>
        <v>COORD. ESTÁGIO - VÃO</v>
      </c>
      <c r="I135" s="55"/>
      <c r="J135" s="56">
        <v>-1</v>
      </c>
      <c r="K135" s="57"/>
      <c r="L135" s="57"/>
      <c r="M135" s="90"/>
      <c r="N135" s="38">
        <f>0.9*2.1+3.81*0.46</f>
        <v>3.6426000000000003</v>
      </c>
      <c r="O135" s="58">
        <f t="shared" si="1"/>
        <v>-3.64</v>
      </c>
      <c r="P135" s="185"/>
      <c r="Q135" s="185"/>
    </row>
    <row r="136" spans="5:17" hidden="1" outlineLevel="2">
      <c r="E136" s="20"/>
      <c r="F136" s="21"/>
      <c r="G136" s="22"/>
      <c r="H136" s="105" t="s">
        <v>2877</v>
      </c>
      <c r="I136" s="55"/>
      <c r="J136" s="56"/>
      <c r="K136" s="57">
        <f>1.6+1.12</f>
        <v>2.72</v>
      </c>
      <c r="L136" s="57"/>
      <c r="M136" s="57">
        <v>3.55</v>
      </c>
      <c r="N136" s="38"/>
      <c r="O136" s="58">
        <f t="shared" si="1"/>
        <v>9.66</v>
      </c>
      <c r="P136" s="185"/>
      <c r="Q136" s="185"/>
    </row>
    <row r="137" spans="5:17" hidden="1" outlineLevel="2">
      <c r="E137" s="20"/>
      <c r="F137" s="21"/>
      <c r="G137" s="22"/>
      <c r="H137" s="30" t="str">
        <f>CONCATENATE(H136," - ","VÃO")</f>
        <v>RECEPÇÃO - VÃO</v>
      </c>
      <c r="I137" s="55"/>
      <c r="J137" s="56">
        <v>-1</v>
      </c>
      <c r="K137" s="57"/>
      <c r="L137" s="57"/>
      <c r="M137" s="57"/>
      <c r="N137" s="38">
        <f>0.9*2.1</f>
        <v>1.8900000000000001</v>
      </c>
      <c r="O137" s="58">
        <f t="shared" si="1"/>
        <v>-1.89</v>
      </c>
      <c r="P137" s="185"/>
      <c r="Q137" s="185"/>
    </row>
    <row r="138" spans="5:17" hidden="1" outlineLevel="2">
      <c r="E138" s="20"/>
      <c r="F138" s="21"/>
      <c r="G138" s="22"/>
      <c r="H138" s="105" t="s">
        <v>2878</v>
      </c>
      <c r="I138" s="55"/>
      <c r="J138" s="56"/>
      <c r="K138" s="57">
        <f>1.59+1.59+2.21+2.21</f>
        <v>7.6000000000000005</v>
      </c>
      <c r="L138" s="57"/>
      <c r="M138" s="57">
        <v>3.55</v>
      </c>
      <c r="N138" s="85"/>
      <c r="O138" s="58">
        <f t="shared" si="1"/>
        <v>26.98</v>
      </c>
      <c r="P138" s="185"/>
      <c r="Q138" s="185"/>
    </row>
    <row r="139" spans="5:17" hidden="1" outlineLevel="2">
      <c r="E139" s="20"/>
      <c r="F139" s="21"/>
      <c r="G139" s="22"/>
      <c r="H139" s="30" t="str">
        <f>CONCATENATE(H138," - ","VÃO")</f>
        <v>WC PCD FEM - VÃO</v>
      </c>
      <c r="I139" s="55"/>
      <c r="J139" s="56">
        <v>-1</v>
      </c>
      <c r="K139" s="57"/>
      <c r="L139" s="57"/>
      <c r="M139" s="57"/>
      <c r="N139" s="38">
        <f>1.29*0.46+2.1*0.9</f>
        <v>2.4834000000000001</v>
      </c>
      <c r="O139" s="58">
        <f t="shared" si="1"/>
        <v>-2.48</v>
      </c>
      <c r="P139" s="185"/>
      <c r="Q139" s="185"/>
    </row>
    <row r="140" spans="5:17" hidden="1" outlineLevel="2">
      <c r="E140" s="20"/>
      <c r="F140" s="21"/>
      <c r="G140" s="22"/>
      <c r="H140" s="105" t="s">
        <v>2879</v>
      </c>
      <c r="I140" s="55"/>
      <c r="J140" s="56"/>
      <c r="K140" s="57">
        <f>1.59+2.21+1.59</f>
        <v>5.39</v>
      </c>
      <c r="L140" s="57"/>
      <c r="M140" s="57">
        <v>3.55</v>
      </c>
      <c r="N140" s="38"/>
      <c r="O140" s="58">
        <f t="shared" si="1"/>
        <v>19.13</v>
      </c>
      <c r="P140" s="185"/>
      <c r="Q140" s="185"/>
    </row>
    <row r="141" spans="5:17" hidden="1" outlineLevel="2">
      <c r="E141" s="20"/>
      <c r="F141" s="21"/>
      <c r="G141" s="22"/>
      <c r="H141" s="30" t="str">
        <f>CONCATENATE(H140," - ","VÃO")</f>
        <v>WC PCD MAS - VÃO</v>
      </c>
      <c r="I141" s="55"/>
      <c r="J141" s="56">
        <v>-1</v>
      </c>
      <c r="K141" s="57"/>
      <c r="L141" s="57"/>
      <c r="M141" s="57"/>
      <c r="N141" s="38">
        <f>1.29*0.46+2.1*0.9</f>
        <v>2.4834000000000001</v>
      </c>
      <c r="O141" s="58">
        <f t="shared" si="1"/>
        <v>-2.48</v>
      </c>
      <c r="P141" s="185"/>
      <c r="Q141" s="185"/>
    </row>
    <row r="142" spans="5:17" hidden="1" outlineLevel="2">
      <c r="E142" s="20"/>
      <c r="F142" s="21"/>
      <c r="G142" s="22"/>
      <c r="H142" s="105" t="s">
        <v>2880</v>
      </c>
      <c r="I142" s="55"/>
      <c r="J142" s="56"/>
      <c r="K142" s="57">
        <f>5.06+5.06+2.36</f>
        <v>12.479999999999999</v>
      </c>
      <c r="L142" s="57"/>
      <c r="M142" s="57">
        <v>3.55</v>
      </c>
      <c r="N142" s="85"/>
      <c r="O142" s="58">
        <f t="shared" si="1"/>
        <v>44.3</v>
      </c>
      <c r="P142" s="185"/>
      <c r="Q142" s="185"/>
    </row>
    <row r="143" spans="5:17" hidden="1" outlineLevel="2">
      <c r="E143" s="20"/>
      <c r="F143" s="21"/>
      <c r="G143" s="22"/>
      <c r="H143" s="30" t="str">
        <f>CONCATENATE(H142," - ","VÃO")</f>
        <v>COPA - VÃO</v>
      </c>
      <c r="I143" s="55"/>
      <c r="J143" s="56">
        <v>-1</v>
      </c>
      <c r="K143" s="57"/>
      <c r="L143" s="57"/>
      <c r="M143" s="57"/>
      <c r="N143" s="38">
        <f>0.9*2.1+3.81*0.46</f>
        <v>3.6426000000000003</v>
      </c>
      <c r="O143" s="58">
        <f t="shared" si="1"/>
        <v>-3.64</v>
      </c>
      <c r="P143" s="185"/>
      <c r="Q143" s="185"/>
    </row>
    <row r="144" spans="5:17" hidden="1" outlineLevel="2">
      <c r="E144" s="20"/>
      <c r="F144" s="21"/>
      <c r="G144" s="22"/>
      <c r="H144" s="105" t="s">
        <v>2881</v>
      </c>
      <c r="I144" s="55"/>
      <c r="J144" s="56"/>
      <c r="K144" s="57">
        <f>3.55+3.55+3.55+1.1+1.1</f>
        <v>12.849999999999998</v>
      </c>
      <c r="L144" s="57"/>
      <c r="M144" s="57">
        <v>3.55</v>
      </c>
      <c r="N144" s="38"/>
      <c r="O144" s="58">
        <f t="shared" si="1"/>
        <v>45.62</v>
      </c>
      <c r="P144" s="185"/>
      <c r="Q144" s="185"/>
    </row>
    <row r="145" spans="5:17" hidden="1" outlineLevel="2">
      <c r="E145" s="20"/>
      <c r="F145" s="21"/>
      <c r="G145" s="22"/>
      <c r="H145" s="30" t="str">
        <f>CONCATENATE(H144," - ","VÃO")</f>
        <v>BWC FUNC. E WC DIR. - VÃO</v>
      </c>
      <c r="I145" s="55"/>
      <c r="J145" s="56">
        <v>-1</v>
      </c>
      <c r="K145" s="57"/>
      <c r="L145" s="57"/>
      <c r="M145" s="57"/>
      <c r="N145" s="38">
        <f>2*0.9*2.1+2*0.66*0.46</f>
        <v>4.3872</v>
      </c>
      <c r="O145" s="58">
        <f t="shared" si="1"/>
        <v>-4.3899999999999997</v>
      </c>
      <c r="P145" s="185"/>
      <c r="Q145" s="185"/>
    </row>
    <row r="146" spans="5:17" hidden="1" outlineLevel="2">
      <c r="E146" s="20"/>
      <c r="F146" s="21"/>
      <c r="G146" s="22"/>
      <c r="H146" s="105" t="s">
        <v>2882</v>
      </c>
      <c r="I146" s="55"/>
      <c r="J146" s="56"/>
      <c r="K146" s="57">
        <f>5.65+5.56+4.79</f>
        <v>16</v>
      </c>
      <c r="L146" s="57"/>
      <c r="M146" s="57">
        <v>3.55</v>
      </c>
      <c r="N146" s="85"/>
      <c r="O146" s="58">
        <f t="shared" si="1"/>
        <v>56.8</v>
      </c>
      <c r="P146" s="185"/>
      <c r="Q146" s="185"/>
    </row>
    <row r="147" spans="5:17" hidden="1" outlineLevel="2">
      <c r="E147" s="20"/>
      <c r="F147" s="21"/>
      <c r="G147" s="22"/>
      <c r="H147" s="30" t="str">
        <f>CONCATENATE(H146," - ","VÃO")</f>
        <v>DIRETORIA - VÃO</v>
      </c>
      <c r="I147" s="55"/>
      <c r="J147" s="56">
        <v>-1</v>
      </c>
      <c r="K147" s="57"/>
      <c r="L147" s="57"/>
      <c r="M147" s="90"/>
      <c r="N147" s="38">
        <f>0.9*2.1+3.81*1.26</f>
        <v>6.6905999999999999</v>
      </c>
      <c r="O147" s="58">
        <f t="shared" si="1"/>
        <v>-6.69</v>
      </c>
      <c r="P147" s="185"/>
      <c r="Q147" s="185"/>
    </row>
    <row r="148" spans="5:17" hidden="1" outlineLevel="2">
      <c r="E148" s="20"/>
      <c r="F148" s="21"/>
      <c r="G148" s="22"/>
      <c r="H148" s="105" t="s">
        <v>2883</v>
      </c>
      <c r="I148" s="55"/>
      <c r="J148" s="56"/>
      <c r="K148" s="57">
        <f>7.89+7.89+4.81</f>
        <v>20.59</v>
      </c>
      <c r="L148" s="57"/>
      <c r="M148" s="57">
        <v>3.55</v>
      </c>
      <c r="N148" s="38"/>
      <c r="O148" s="58">
        <f t="shared" si="1"/>
        <v>73.09</v>
      </c>
      <c r="P148" s="185"/>
      <c r="Q148" s="185"/>
    </row>
    <row r="149" spans="5:17" hidden="1" outlineLevel="2">
      <c r="E149" s="20"/>
      <c r="F149" s="21"/>
      <c r="G149" s="22"/>
      <c r="H149" s="30" t="str">
        <f>CONCATENATE(H148," - ","VÃO")</f>
        <v>SALA PROFESSORES - VÃO</v>
      </c>
      <c r="I149" s="55"/>
      <c r="J149" s="56">
        <v>-1</v>
      </c>
      <c r="K149" s="57"/>
      <c r="L149" s="57"/>
      <c r="M149" s="57"/>
      <c r="N149" s="38">
        <f>2*3.81*1.26+0.9*2.1+7.7*0.3</f>
        <v>13.801200000000001</v>
      </c>
      <c r="O149" s="58">
        <f t="shared" si="1"/>
        <v>-13.8</v>
      </c>
      <c r="P149" s="185"/>
      <c r="Q149" s="185"/>
    </row>
    <row r="150" spans="5:17" hidden="1" outlineLevel="2">
      <c r="E150" s="20"/>
      <c r="F150" s="21"/>
      <c r="G150" s="22"/>
      <c r="H150" s="105" t="s">
        <v>2884</v>
      </c>
      <c r="I150" s="55"/>
      <c r="J150" s="56"/>
      <c r="K150" s="57">
        <f>8.04+2.19</f>
        <v>10.229999999999999</v>
      </c>
      <c r="L150" s="57"/>
      <c r="M150" s="57">
        <v>3.55</v>
      </c>
      <c r="N150" s="38"/>
      <c r="O150" s="58">
        <f t="shared" ref="O150:O195" si="2">ROUND(PRODUCT(J150:N150),2)</f>
        <v>36.32</v>
      </c>
      <c r="P150" s="185"/>
      <c r="Q150" s="185"/>
    </row>
    <row r="151" spans="5:17" hidden="1" outlineLevel="2">
      <c r="E151" s="20"/>
      <c r="F151" s="21"/>
      <c r="G151" s="22"/>
      <c r="H151" s="30" t="str">
        <f>CONCATENATE(H150," - ","VÃO")</f>
        <v>MULTIMIDIA PROF - VÃO</v>
      </c>
      <c r="I151" s="55"/>
      <c r="J151" s="56">
        <v>-1</v>
      </c>
      <c r="K151" s="57"/>
      <c r="L151" s="57"/>
      <c r="M151" s="57"/>
      <c r="N151" s="38">
        <f>3.81*0.46*2+0.9*2.1</f>
        <v>5.3952000000000009</v>
      </c>
      <c r="O151" s="58">
        <f t="shared" si="2"/>
        <v>-5.4</v>
      </c>
      <c r="P151" s="185"/>
      <c r="Q151" s="185"/>
    </row>
    <row r="152" spans="5:17" hidden="1" outlineLevel="2">
      <c r="E152" s="20"/>
      <c r="F152" s="21"/>
      <c r="G152" s="22"/>
      <c r="H152" s="105" t="s">
        <v>2885</v>
      </c>
      <c r="I152" s="55"/>
      <c r="J152" s="56"/>
      <c r="K152" s="57">
        <f>8.85+8.85+7.15</f>
        <v>24.85</v>
      </c>
      <c r="L152" s="57"/>
      <c r="M152" s="57">
        <v>3.55</v>
      </c>
      <c r="N152" s="85"/>
      <c r="O152" s="58">
        <f t="shared" si="2"/>
        <v>88.22</v>
      </c>
      <c r="P152" s="185"/>
      <c r="Q152" s="185"/>
    </row>
    <row r="153" spans="5:17" hidden="1" outlineLevel="2">
      <c r="E153" s="20"/>
      <c r="F153" s="21"/>
      <c r="G153" s="22"/>
      <c r="H153" s="30" t="str">
        <f>CONCATENATE(H152," - ","VÃO")</f>
        <v>LABORATÓRIO LINGUAS - VÃO</v>
      </c>
      <c r="I153" s="55"/>
      <c r="J153" s="56">
        <v>-1</v>
      </c>
      <c r="K153" s="57"/>
      <c r="L153" s="57"/>
      <c r="M153" s="57"/>
      <c r="N153" s="38">
        <f>2*3.81*1.26+2*3.81*0.46+0.9*2.1</f>
        <v>14.996400000000001</v>
      </c>
      <c r="O153" s="58">
        <f t="shared" si="2"/>
        <v>-15</v>
      </c>
      <c r="P153" s="185"/>
      <c r="Q153" s="185"/>
    </row>
    <row r="154" spans="5:17" hidden="1" outlineLevel="2">
      <c r="E154" s="20"/>
      <c r="F154" s="21"/>
      <c r="G154" s="22"/>
      <c r="H154" s="105" t="s">
        <v>2886</v>
      </c>
      <c r="I154" s="55"/>
      <c r="J154" s="56"/>
      <c r="K154" s="57">
        <f>8.85+8.85+7.15</f>
        <v>24.85</v>
      </c>
      <c r="L154" s="57"/>
      <c r="M154" s="57">
        <v>3.55</v>
      </c>
      <c r="N154" s="38"/>
      <c r="O154" s="58">
        <f t="shared" si="2"/>
        <v>88.22</v>
      </c>
      <c r="P154" s="185"/>
      <c r="Q154" s="185"/>
    </row>
    <row r="155" spans="5:17" hidden="1" outlineLevel="2">
      <c r="E155" s="20"/>
      <c r="F155" s="21"/>
      <c r="G155" s="22"/>
      <c r="H155" s="30" t="str">
        <f>CONCATENATE(H154," - ","VÃO")</f>
        <v>LABORATÓRIO INFORMÁTICA - VÃO</v>
      </c>
      <c r="I155" s="55"/>
      <c r="J155" s="56">
        <v>-1</v>
      </c>
      <c r="K155" s="57"/>
      <c r="L155" s="57"/>
      <c r="M155" s="57"/>
      <c r="N155" s="38">
        <f>2*3.81*1.26+2*3.81*0.46+0.9*2.1</f>
        <v>14.996400000000001</v>
      </c>
      <c r="O155" s="58">
        <f t="shared" si="2"/>
        <v>-15</v>
      </c>
      <c r="P155" s="185"/>
      <c r="Q155" s="185"/>
    </row>
    <row r="156" spans="5:17" hidden="1" outlineLevel="2">
      <c r="E156" s="20"/>
      <c r="F156" s="21"/>
      <c r="G156" s="22"/>
      <c r="H156" s="105" t="s">
        <v>2887</v>
      </c>
      <c r="I156" s="55"/>
      <c r="J156" s="56"/>
      <c r="K156" s="57">
        <f>6.85+2.5+2.5</f>
        <v>11.85</v>
      </c>
      <c r="L156" s="57"/>
      <c r="M156" s="57">
        <v>3.55</v>
      </c>
      <c r="N156" s="38"/>
      <c r="O156" s="58">
        <f t="shared" si="2"/>
        <v>42.07</v>
      </c>
      <c r="P156" s="185"/>
      <c r="Q156" s="185"/>
    </row>
    <row r="157" spans="5:17" hidden="1" outlineLevel="2">
      <c r="E157" s="20"/>
      <c r="F157" s="21"/>
      <c r="G157" s="22"/>
      <c r="H157" s="30" t="str">
        <f>CONCATENATE(H156," - ","VÃO")</f>
        <v>ALMOXARIFADO INFORMÁTICA - VÃO</v>
      </c>
      <c r="I157" s="55"/>
      <c r="J157" s="56">
        <v>-1</v>
      </c>
      <c r="K157" s="57"/>
      <c r="L157" s="57"/>
      <c r="M157" s="57"/>
      <c r="N157" s="38">
        <f>0.66*1.92+0.46*1.92+0.9*2.1</f>
        <v>4.0404</v>
      </c>
      <c r="O157" s="58">
        <f t="shared" si="2"/>
        <v>-4.04</v>
      </c>
      <c r="P157" s="185"/>
      <c r="Q157" s="185"/>
    </row>
    <row r="158" spans="5:17" hidden="1" outlineLevel="2">
      <c r="E158" s="20"/>
      <c r="F158" s="21"/>
      <c r="G158" s="22"/>
      <c r="H158" s="105" t="s">
        <v>2888</v>
      </c>
      <c r="I158" s="55"/>
      <c r="J158" s="56"/>
      <c r="K158" s="57">
        <f>5.1+5.1+4.05</f>
        <v>14.25</v>
      </c>
      <c r="L158" s="57"/>
      <c r="M158" s="57">
        <v>3.55</v>
      </c>
      <c r="N158" s="85"/>
      <c r="O158" s="58">
        <f t="shared" si="2"/>
        <v>50.59</v>
      </c>
      <c r="P158" s="185"/>
      <c r="Q158" s="185"/>
    </row>
    <row r="159" spans="5:17" hidden="1" outlineLevel="2">
      <c r="E159" s="20"/>
      <c r="F159" s="21"/>
      <c r="G159" s="22"/>
      <c r="H159" s="30" t="str">
        <f>CONCATENATE(H158," - ","VÃO")</f>
        <v>ESCADAS 1 - VÃO</v>
      </c>
      <c r="I159" s="55"/>
      <c r="J159" s="56">
        <v>-1</v>
      </c>
      <c r="K159" s="57"/>
      <c r="L159" s="57"/>
      <c r="M159" s="90"/>
      <c r="N159" s="38">
        <f>1.8*3*2+3.3*3</f>
        <v>20.7</v>
      </c>
      <c r="O159" s="58">
        <f t="shared" si="2"/>
        <v>-20.7</v>
      </c>
      <c r="P159" s="185"/>
      <c r="Q159" s="185"/>
    </row>
    <row r="160" spans="5:17" hidden="1" outlineLevel="2">
      <c r="E160" s="20"/>
      <c r="F160" s="21"/>
      <c r="G160" s="22"/>
      <c r="H160" s="105" t="s">
        <v>2889</v>
      </c>
      <c r="I160" s="55"/>
      <c r="J160" s="56"/>
      <c r="K160" s="57">
        <f>1.8+3.3</f>
        <v>5.0999999999999996</v>
      </c>
      <c r="L160" s="57"/>
      <c r="M160" s="57">
        <v>3.55</v>
      </c>
      <c r="N160" s="85"/>
      <c r="O160" s="58">
        <f t="shared" si="2"/>
        <v>18.11</v>
      </c>
      <c r="P160" s="185"/>
      <c r="Q160" s="185"/>
    </row>
    <row r="161" spans="5:18" hidden="1" outlineLevel="2">
      <c r="E161" s="20"/>
      <c r="F161" s="21"/>
      <c r="G161" s="22"/>
      <c r="H161" s="30" t="str">
        <f>CONCATENATE(H160," - ","VÃO")</f>
        <v>DEPÓSITO/DML 1 - VÃO</v>
      </c>
      <c r="I161" s="55"/>
      <c r="J161" s="56">
        <v>-1</v>
      </c>
      <c r="K161" s="57"/>
      <c r="L161" s="57"/>
      <c r="M161" s="57"/>
      <c r="N161" s="110">
        <f>0.9*2.1</f>
        <v>1.8900000000000001</v>
      </c>
      <c r="O161" s="58">
        <f t="shared" si="2"/>
        <v>-1.89</v>
      </c>
      <c r="P161" s="185"/>
      <c r="Q161" s="185"/>
    </row>
    <row r="162" spans="5:18" hidden="1" outlineLevel="2">
      <c r="E162" s="20"/>
      <c r="F162" s="21"/>
      <c r="G162" s="22"/>
      <c r="H162" s="105" t="s">
        <v>2890</v>
      </c>
      <c r="I162" s="55"/>
      <c r="J162" s="56"/>
      <c r="K162" s="57">
        <f>5.1+5.1+4.05</f>
        <v>14.25</v>
      </c>
      <c r="L162" s="57"/>
      <c r="M162" s="57">
        <v>3.55</v>
      </c>
      <c r="N162" s="38"/>
      <c r="O162" s="58">
        <f t="shared" si="2"/>
        <v>50.59</v>
      </c>
      <c r="P162" s="185"/>
      <c r="Q162" s="185"/>
    </row>
    <row r="163" spans="5:18" hidden="1" outlineLevel="2">
      <c r="E163" s="20"/>
      <c r="F163" s="21"/>
      <c r="G163" s="22"/>
      <c r="H163" s="30" t="str">
        <f>CONCATENATE(H162," - ","VÃO")</f>
        <v>ESCADAS 2 - VÃO</v>
      </c>
      <c r="I163" s="55"/>
      <c r="J163" s="56">
        <v>-1</v>
      </c>
      <c r="K163" s="57"/>
      <c r="L163" s="57"/>
      <c r="M163" s="90"/>
      <c r="N163" s="38">
        <f>1.8*3+3.3*3</f>
        <v>15.299999999999999</v>
      </c>
      <c r="O163" s="58">
        <f t="shared" si="2"/>
        <v>-15.3</v>
      </c>
      <c r="P163" s="185"/>
      <c r="Q163" s="185"/>
    </row>
    <row r="164" spans="5:18" hidden="1" outlineLevel="2">
      <c r="E164" s="20"/>
      <c r="F164" s="21"/>
      <c r="G164" s="22"/>
      <c r="H164" s="105" t="s">
        <v>2891</v>
      </c>
      <c r="I164" s="55"/>
      <c r="J164" s="56"/>
      <c r="K164" s="57">
        <f>4.95*2+1.72</f>
        <v>11.620000000000001</v>
      </c>
      <c r="L164" s="57"/>
      <c r="M164" s="57">
        <v>3.55</v>
      </c>
      <c r="N164" s="85"/>
      <c r="O164" s="58">
        <f t="shared" si="2"/>
        <v>41.25</v>
      </c>
      <c r="P164" s="185"/>
      <c r="Q164" s="185"/>
    </row>
    <row r="165" spans="5:18" hidden="1" outlineLevel="2">
      <c r="E165" s="20"/>
      <c r="F165" s="21"/>
      <c r="G165" s="22"/>
      <c r="H165" s="30" t="str">
        <f>CONCATENATE(H164," - ","VÃO")</f>
        <v>DEPÓSITO - VÃO</v>
      </c>
      <c r="I165" s="55"/>
      <c r="J165" s="56">
        <v>-1</v>
      </c>
      <c r="K165" s="57"/>
      <c r="L165" s="57"/>
      <c r="M165" s="57"/>
      <c r="N165" s="110">
        <f>1.5*0.9+1.8*3</f>
        <v>6.75</v>
      </c>
      <c r="O165" s="58">
        <f t="shared" si="2"/>
        <v>-6.75</v>
      </c>
      <c r="P165" s="185"/>
      <c r="Q165" s="185"/>
    </row>
    <row r="166" spans="5:18" hidden="1" outlineLevel="2">
      <c r="E166" s="20"/>
      <c r="F166" s="21"/>
      <c r="G166" s="22"/>
      <c r="H166" s="105" t="s">
        <v>2892</v>
      </c>
      <c r="I166" s="55"/>
      <c r="J166" s="56"/>
      <c r="K166" s="57">
        <f>1.8+3.31</f>
        <v>5.1100000000000003</v>
      </c>
      <c r="L166" s="57"/>
      <c r="M166" s="57">
        <v>3.55</v>
      </c>
      <c r="N166" s="85"/>
      <c r="O166" s="58">
        <f t="shared" si="2"/>
        <v>18.14</v>
      </c>
      <c r="P166" s="86"/>
      <c r="Q166" s="87"/>
      <c r="R166" s="87"/>
    </row>
    <row r="167" spans="5:18" hidden="1" outlineLevel="2">
      <c r="E167" s="20"/>
      <c r="F167" s="21"/>
      <c r="G167" s="22"/>
      <c r="H167" s="30" t="str">
        <f>CONCATENATE(H166," - ","VÃO")</f>
        <v>DEPÓSITO/DML 2 - VÃO</v>
      </c>
      <c r="I167" s="55"/>
      <c r="J167" s="56">
        <v>-1</v>
      </c>
      <c r="K167" s="57"/>
      <c r="L167" s="57"/>
      <c r="M167" s="57"/>
      <c r="N167" s="38">
        <f>0.9*2.1</f>
        <v>1.8900000000000001</v>
      </c>
      <c r="O167" s="58">
        <f t="shared" si="2"/>
        <v>-1.89</v>
      </c>
      <c r="P167" s="86"/>
      <c r="Q167" s="87"/>
      <c r="R167" s="87"/>
    </row>
    <row r="168" spans="5:18" hidden="1" outlineLevel="2">
      <c r="E168" s="20"/>
      <c r="F168" s="21"/>
      <c r="G168" s="22"/>
      <c r="H168" s="105" t="s">
        <v>2893</v>
      </c>
      <c r="I168" s="55"/>
      <c r="J168" s="56"/>
      <c r="K168" s="57">
        <f>5.25+1.6*2</f>
        <v>8.4499999999999993</v>
      </c>
      <c r="L168" s="57"/>
      <c r="M168" s="57">
        <v>3.55</v>
      </c>
      <c r="N168" s="85"/>
      <c r="O168" s="58">
        <f t="shared" si="2"/>
        <v>30</v>
      </c>
      <c r="P168" s="185"/>
      <c r="Q168" s="185"/>
    </row>
    <row r="169" spans="5:18" hidden="1" outlineLevel="2">
      <c r="E169" s="20"/>
      <c r="F169" s="21"/>
      <c r="G169" s="22"/>
      <c r="H169" s="30" t="str">
        <f>CONCATENATE(H168," - ","VÃO")</f>
        <v>ALMOXARIFADO - VÃO</v>
      </c>
      <c r="I169" s="55"/>
      <c r="J169" s="56">
        <v>-1</v>
      </c>
      <c r="K169" s="57"/>
      <c r="L169" s="57"/>
      <c r="M169" s="57"/>
      <c r="N169" s="110">
        <f>1.5*0.9+1.8*3+0.9*2.1</f>
        <v>8.64</v>
      </c>
      <c r="O169" s="58">
        <f t="shared" si="2"/>
        <v>-8.64</v>
      </c>
      <c r="P169" s="185"/>
      <c r="Q169" s="185"/>
    </row>
    <row r="170" spans="5:18" hidden="1" outlineLevel="2">
      <c r="E170" s="20"/>
      <c r="F170" s="21"/>
      <c r="G170" s="22"/>
      <c r="H170" s="105" t="s">
        <v>2894</v>
      </c>
      <c r="I170" s="55"/>
      <c r="J170" s="56"/>
      <c r="K170" s="57">
        <f>2*9.15+2*6.85</f>
        <v>32</v>
      </c>
      <c r="L170" s="57"/>
      <c r="M170" s="57">
        <v>3.55</v>
      </c>
      <c r="N170" s="85"/>
      <c r="O170" s="58">
        <f t="shared" si="2"/>
        <v>113.6</v>
      </c>
      <c r="P170" s="185"/>
      <c r="Q170" s="185"/>
    </row>
    <row r="171" spans="5:18" hidden="1" outlineLevel="2">
      <c r="E171" s="20"/>
      <c r="F171" s="21"/>
      <c r="G171" s="22"/>
      <c r="H171" s="30" t="str">
        <f>CONCATENATE(H170," - ","VÃO")</f>
        <v>LABORATÓRIO QUÍMICA - VÃO</v>
      </c>
      <c r="I171" s="55"/>
      <c r="J171" s="56">
        <v>-1</v>
      </c>
      <c r="K171" s="57"/>
      <c r="L171" s="57"/>
      <c r="M171" s="57"/>
      <c r="N171" s="111">
        <f>2*3.81*1.26+2*3.81*0.46+0.9*2.1*2</f>
        <v>16.886400000000002</v>
      </c>
      <c r="O171" s="58">
        <f t="shared" si="2"/>
        <v>-16.89</v>
      </c>
      <c r="P171" s="185"/>
      <c r="Q171" s="185"/>
    </row>
    <row r="172" spans="5:18" hidden="1" outlineLevel="2">
      <c r="E172" s="20"/>
      <c r="F172" s="21"/>
      <c r="G172" s="22"/>
      <c r="H172" s="105" t="s">
        <v>2895</v>
      </c>
      <c r="I172" s="55"/>
      <c r="J172" s="56"/>
      <c r="K172" s="57">
        <f>4.35*2+2.98</f>
        <v>11.68</v>
      </c>
      <c r="L172" s="57"/>
      <c r="M172" s="57">
        <v>3.55</v>
      </c>
      <c r="N172" s="38"/>
      <c r="O172" s="58">
        <f t="shared" si="2"/>
        <v>41.46</v>
      </c>
      <c r="P172" s="185"/>
      <c r="Q172" s="185"/>
    </row>
    <row r="173" spans="5:18" hidden="1" outlineLevel="2">
      <c r="E173" s="20"/>
      <c r="F173" s="21"/>
      <c r="G173" s="22"/>
      <c r="H173" s="30" t="str">
        <f>CONCATENATE(H172," - ","VÃO")</f>
        <v>SALA TÉCNICA - VÃO</v>
      </c>
      <c r="I173" s="55"/>
      <c r="J173" s="56">
        <v>-1</v>
      </c>
      <c r="K173" s="57"/>
      <c r="L173" s="57"/>
      <c r="M173" s="57"/>
      <c r="N173" s="38">
        <f>0.9*2.1+3.81*0.46</f>
        <v>3.6426000000000003</v>
      </c>
      <c r="O173" s="58">
        <f t="shared" si="2"/>
        <v>-3.64</v>
      </c>
      <c r="P173" s="185"/>
      <c r="Q173" s="185"/>
    </row>
    <row r="174" spans="5:18" hidden="1" outlineLevel="2">
      <c r="E174" s="20"/>
      <c r="F174" s="21"/>
      <c r="G174" s="22"/>
      <c r="H174" s="105" t="s">
        <v>2896</v>
      </c>
      <c r="I174" s="55"/>
      <c r="J174" s="56"/>
      <c r="K174" s="57">
        <f>4.02+4.5</f>
        <v>8.52</v>
      </c>
      <c r="L174" s="57"/>
      <c r="M174" s="57">
        <v>3.55</v>
      </c>
      <c r="N174" s="38"/>
      <c r="O174" s="58">
        <f t="shared" si="2"/>
        <v>30.25</v>
      </c>
      <c r="P174" s="185"/>
      <c r="Q174" s="185"/>
    </row>
    <row r="175" spans="5:18" hidden="1" outlineLevel="2">
      <c r="E175" s="20"/>
      <c r="F175" s="21"/>
      <c r="G175" s="22"/>
      <c r="H175" s="30" t="str">
        <f>CONCATENATE(H174," - ","VÃO")</f>
        <v>ALMOX. LABORATÓRIOS QUIM/BIO - VÃO</v>
      </c>
      <c r="I175" s="55"/>
      <c r="J175" s="56">
        <v>-1</v>
      </c>
      <c r="K175" s="57"/>
      <c r="L175" s="57"/>
      <c r="M175" s="57"/>
      <c r="N175" s="111">
        <f>0.9*2.1+3.81*0.46</f>
        <v>3.6426000000000003</v>
      </c>
      <c r="O175" s="58">
        <f t="shared" si="2"/>
        <v>-3.64</v>
      </c>
      <c r="P175" s="185"/>
      <c r="Q175" s="185"/>
    </row>
    <row r="176" spans="5:18" hidden="1" outlineLevel="2">
      <c r="E176" s="20"/>
      <c r="F176" s="21"/>
      <c r="G176" s="22"/>
      <c r="H176" s="105" t="s">
        <v>2897</v>
      </c>
      <c r="I176" s="55"/>
      <c r="J176" s="56"/>
      <c r="K176" s="57">
        <f>9*2+6.85</f>
        <v>24.85</v>
      </c>
      <c r="L176" s="57"/>
      <c r="M176" s="57">
        <v>3.55</v>
      </c>
      <c r="N176" s="38"/>
      <c r="O176" s="58">
        <f t="shared" si="2"/>
        <v>88.22</v>
      </c>
      <c r="P176" s="185"/>
      <c r="Q176" s="185"/>
    </row>
    <row r="177" spans="5:17" hidden="1" outlineLevel="2">
      <c r="E177" s="20"/>
      <c r="F177" s="21"/>
      <c r="G177" s="22"/>
      <c r="H177" s="30" t="str">
        <f>CONCATENATE(H176," - ","VÃO")</f>
        <v>LABORATÓRIO BIOLOGIA - VÃO</v>
      </c>
      <c r="I177" s="55"/>
      <c r="J177" s="56">
        <v>-1</v>
      </c>
      <c r="K177" s="57"/>
      <c r="L177" s="57"/>
      <c r="M177" s="57"/>
      <c r="N177" s="111">
        <f>2*3.81*1.26+2*3.81*0.46+0.9*2.1</f>
        <v>14.996400000000001</v>
      </c>
      <c r="O177" s="58">
        <f t="shared" si="2"/>
        <v>-15</v>
      </c>
      <c r="P177" s="185"/>
      <c r="Q177" s="185"/>
    </row>
    <row r="178" spans="5:17" hidden="1" outlineLevel="2">
      <c r="E178" s="20"/>
      <c r="F178" s="21"/>
      <c r="G178" s="22"/>
      <c r="H178" s="105" t="s">
        <v>2898</v>
      </c>
      <c r="I178" s="55"/>
      <c r="J178" s="56"/>
      <c r="K178" s="57">
        <f>9*2+6.85</f>
        <v>24.85</v>
      </c>
      <c r="L178" s="57"/>
      <c r="M178" s="57">
        <v>3.55</v>
      </c>
      <c r="N178" s="85"/>
      <c r="O178" s="58">
        <f t="shared" si="2"/>
        <v>88.22</v>
      </c>
      <c r="P178" s="185"/>
      <c r="Q178" s="185"/>
    </row>
    <row r="179" spans="5:17" hidden="1" outlineLevel="2">
      <c r="E179" s="20"/>
      <c r="F179" s="21"/>
      <c r="G179" s="22"/>
      <c r="H179" s="30" t="str">
        <f>CONCATENATE(H178," - ","VÃO")</f>
        <v>LABORATÓRIO FÍSICA - VÃO</v>
      </c>
      <c r="I179" s="55"/>
      <c r="J179" s="56">
        <v>-1</v>
      </c>
      <c r="K179" s="57"/>
      <c r="L179" s="57"/>
      <c r="M179" s="57"/>
      <c r="N179" s="111">
        <f>2*3.81*1.26+2*3.81*0.46+0.9*2.1*2</f>
        <v>16.886400000000002</v>
      </c>
      <c r="O179" s="58">
        <f t="shared" si="2"/>
        <v>-16.89</v>
      </c>
      <c r="P179" s="185"/>
      <c r="Q179" s="185"/>
    </row>
    <row r="180" spans="5:17" hidden="1" outlineLevel="2">
      <c r="E180" s="20"/>
      <c r="F180" s="21"/>
      <c r="G180" s="22"/>
      <c r="H180" s="105" t="s">
        <v>2899</v>
      </c>
      <c r="I180" s="55"/>
      <c r="J180" s="56"/>
      <c r="K180" s="57">
        <f>4.5*2+2.68</f>
        <v>11.68</v>
      </c>
      <c r="L180" s="57"/>
      <c r="M180" s="57">
        <v>3.55</v>
      </c>
      <c r="N180" s="85"/>
      <c r="O180" s="58">
        <f t="shared" si="2"/>
        <v>41.46</v>
      </c>
      <c r="P180" s="185"/>
      <c r="Q180" s="185"/>
    </row>
    <row r="181" spans="5:17" hidden="1" outlineLevel="2">
      <c r="E181" s="20"/>
      <c r="F181" s="21"/>
      <c r="G181" s="22"/>
      <c r="H181" s="30" t="str">
        <f>CONCATENATE(H180," - ","VÃO")</f>
        <v>DEPARTAMENTO MAT.MULTIMÍDIA - VÃO</v>
      </c>
      <c r="I181" s="55"/>
      <c r="J181" s="56">
        <v>-1</v>
      </c>
      <c r="K181" s="57"/>
      <c r="L181" s="57"/>
      <c r="M181" s="57"/>
      <c r="N181" s="38">
        <f>0.9*2.1+3.81*0.46</f>
        <v>3.6426000000000003</v>
      </c>
      <c r="O181" s="58">
        <f t="shared" si="2"/>
        <v>-3.64</v>
      </c>
      <c r="P181" s="185"/>
      <c r="Q181" s="185"/>
    </row>
    <row r="182" spans="5:17" hidden="1" outlineLevel="2">
      <c r="E182" s="20"/>
      <c r="F182" s="21"/>
      <c r="G182" s="22"/>
      <c r="H182" s="105" t="s">
        <v>2900</v>
      </c>
      <c r="I182" s="55"/>
      <c r="J182" s="56"/>
      <c r="K182" s="57">
        <f>4.02+4.5</f>
        <v>8.52</v>
      </c>
      <c r="L182" s="57"/>
      <c r="M182" s="57">
        <v>3.55</v>
      </c>
      <c r="N182" s="85"/>
      <c r="O182" s="58">
        <f t="shared" si="2"/>
        <v>30.25</v>
      </c>
      <c r="P182" s="185"/>
      <c r="Q182" s="185"/>
    </row>
    <row r="183" spans="5:17" hidden="1" outlineLevel="2">
      <c r="E183" s="20"/>
      <c r="F183" s="21"/>
      <c r="G183" s="22"/>
      <c r="H183" s="30" t="str">
        <f>CONCATENATE(H182," - ","VÃO")</f>
        <v>ALMOXARIFADO LABORATÓRIOS FÍS/MAT - VÃO</v>
      </c>
      <c r="I183" s="55"/>
      <c r="J183" s="56">
        <v>-1</v>
      </c>
      <c r="K183" s="57"/>
      <c r="L183" s="57"/>
      <c r="M183" s="57"/>
      <c r="N183" s="111">
        <f>0.9*2.1+3.81*0.46</f>
        <v>3.6426000000000003</v>
      </c>
      <c r="O183" s="58">
        <f t="shared" si="2"/>
        <v>-3.64</v>
      </c>
      <c r="P183" s="185"/>
      <c r="Q183" s="185"/>
    </row>
    <row r="184" spans="5:17" hidden="1" outlineLevel="2">
      <c r="E184" s="20"/>
      <c r="F184" s="21"/>
      <c r="G184" s="22"/>
      <c r="H184" s="105" t="s">
        <v>2901</v>
      </c>
      <c r="I184" s="55"/>
      <c r="J184" s="56"/>
      <c r="K184" s="57">
        <f>K176</f>
        <v>24.85</v>
      </c>
      <c r="L184" s="57"/>
      <c r="M184" s="57">
        <v>3.55</v>
      </c>
      <c r="N184" s="85"/>
      <c r="O184" s="58">
        <f t="shared" si="2"/>
        <v>88.22</v>
      </c>
      <c r="P184" s="185"/>
      <c r="Q184" s="185"/>
    </row>
    <row r="185" spans="5:17" hidden="1" outlineLevel="2">
      <c r="E185" s="20"/>
      <c r="F185" s="21"/>
      <c r="G185" s="22"/>
      <c r="H185" s="30" t="str">
        <f>CONCATENATE(H184," - ","VÃO")</f>
        <v>LABORATÓRIO MATEMÁTICA - VÃO</v>
      </c>
      <c r="I185" s="55"/>
      <c r="J185" s="56">
        <v>-1</v>
      </c>
      <c r="K185" s="57"/>
      <c r="L185" s="57"/>
      <c r="M185" s="57"/>
      <c r="N185" s="111">
        <f>N177</f>
        <v>14.996400000000001</v>
      </c>
      <c r="O185" s="58">
        <f t="shared" si="2"/>
        <v>-15</v>
      </c>
      <c r="P185" s="185"/>
      <c r="Q185" s="185"/>
    </row>
    <row r="186" spans="5:17" hidden="1" outlineLevel="2">
      <c r="E186" s="20"/>
      <c r="F186" s="21"/>
      <c r="G186" s="22"/>
      <c r="H186" s="30" t="s">
        <v>2902</v>
      </c>
      <c r="I186" s="55"/>
      <c r="J186" s="56"/>
      <c r="K186" s="57">
        <f>2.84+2.06+1.64</f>
        <v>6.54</v>
      </c>
      <c r="L186" s="57"/>
      <c r="M186" s="57">
        <v>3.55</v>
      </c>
      <c r="N186" s="38"/>
      <c r="O186" s="58">
        <f t="shared" si="2"/>
        <v>23.22</v>
      </c>
      <c r="P186" s="185"/>
      <c r="Q186" s="185"/>
    </row>
    <row r="187" spans="5:17" hidden="1" outlineLevel="2">
      <c r="E187" s="20"/>
      <c r="F187" s="21"/>
      <c r="G187" s="22"/>
      <c r="H187" s="30" t="str">
        <f>CONCATENATE(H186," - ","VÃO")</f>
        <v>WC PCD FEM. - VÃO</v>
      </c>
      <c r="I187" s="55"/>
      <c r="J187" s="56">
        <v>-1</v>
      </c>
      <c r="K187" s="57"/>
      <c r="L187" s="57"/>
      <c r="M187" s="57"/>
      <c r="N187" s="111">
        <f>0.9*2.1+1.29*0.46</f>
        <v>2.4834000000000001</v>
      </c>
      <c r="O187" s="58">
        <f t="shared" si="2"/>
        <v>-2.48</v>
      </c>
      <c r="P187" s="185"/>
      <c r="Q187" s="185"/>
    </row>
    <row r="188" spans="5:17" hidden="1" outlineLevel="2">
      <c r="E188" s="20"/>
      <c r="F188" s="21"/>
      <c r="G188" s="22"/>
      <c r="H188" s="30" t="s">
        <v>2903</v>
      </c>
      <c r="I188" s="55"/>
      <c r="J188" s="56"/>
      <c r="K188" s="57">
        <f>1.47+1.47+2.36+2.99</f>
        <v>8.2899999999999991</v>
      </c>
      <c r="L188" s="57"/>
      <c r="M188" s="57">
        <v>3.55</v>
      </c>
      <c r="N188" s="38"/>
      <c r="O188" s="58">
        <f t="shared" si="2"/>
        <v>29.43</v>
      </c>
      <c r="P188" s="185"/>
      <c r="Q188" s="185"/>
    </row>
    <row r="189" spans="5:17" hidden="1" outlineLevel="2">
      <c r="E189" s="20"/>
      <c r="F189" s="21"/>
      <c r="G189" s="22"/>
      <c r="H189" s="30" t="str">
        <f>CONCATENATE(H188," - ","VÃO")</f>
        <v>WC PCD MASC. - VÃO</v>
      </c>
      <c r="I189" s="55"/>
      <c r="J189" s="56">
        <v>-1</v>
      </c>
      <c r="K189" s="57"/>
      <c r="L189" s="57"/>
      <c r="M189" s="57"/>
      <c r="N189" s="111">
        <f>0.9*2.1+1.29*0.46</f>
        <v>2.4834000000000001</v>
      </c>
      <c r="O189" s="58">
        <f t="shared" si="2"/>
        <v>-2.48</v>
      </c>
      <c r="P189" s="185"/>
      <c r="Q189" s="185"/>
    </row>
    <row r="190" spans="5:17" hidden="1" outlineLevel="2">
      <c r="E190" s="20"/>
      <c r="F190" s="21"/>
      <c r="G190" s="22"/>
      <c r="H190" s="30" t="s">
        <v>2904</v>
      </c>
      <c r="I190" s="55"/>
      <c r="J190" s="56"/>
      <c r="K190" s="57">
        <f>1.52+1.29+3.69+3.5</f>
        <v>10</v>
      </c>
      <c r="L190" s="57"/>
      <c r="M190" s="57">
        <v>3.55</v>
      </c>
      <c r="N190" s="38"/>
      <c r="O190" s="58">
        <f t="shared" si="2"/>
        <v>35.5</v>
      </c>
      <c r="P190" s="185"/>
      <c r="Q190" s="185"/>
    </row>
    <row r="191" spans="5:17" hidden="1" outlineLevel="2">
      <c r="E191" s="20"/>
      <c r="F191" s="21"/>
      <c r="G191" s="22"/>
      <c r="H191" s="30" t="str">
        <f>CONCATENATE(H190," - ","VÃO")</f>
        <v>SANIT. FEM - VÃO</v>
      </c>
      <c r="I191" s="55"/>
      <c r="J191" s="56">
        <v>-1</v>
      </c>
      <c r="K191" s="57"/>
      <c r="L191" s="57"/>
      <c r="M191" s="57"/>
      <c r="N191" s="111">
        <f>0.9*2.1+3.15*0.66</f>
        <v>3.9690000000000003</v>
      </c>
      <c r="O191" s="58">
        <f t="shared" si="2"/>
        <v>-3.97</v>
      </c>
      <c r="P191" s="185"/>
      <c r="Q191" s="185"/>
    </row>
    <row r="192" spans="5:17" hidden="1" outlineLevel="2">
      <c r="E192" s="20"/>
      <c r="F192" s="21"/>
      <c r="G192" s="22"/>
      <c r="H192" s="30" t="s">
        <v>2905</v>
      </c>
      <c r="I192" s="55"/>
      <c r="J192" s="56"/>
      <c r="K192" s="57">
        <f>1.52+1.14+5.36+3.35</f>
        <v>11.37</v>
      </c>
      <c r="L192" s="57"/>
      <c r="M192" s="57">
        <v>3.55</v>
      </c>
      <c r="N192" s="38"/>
      <c r="O192" s="58">
        <f t="shared" si="2"/>
        <v>40.36</v>
      </c>
      <c r="P192" s="185"/>
      <c r="Q192" s="185"/>
    </row>
    <row r="193" spans="5:17" hidden="1" outlineLevel="2">
      <c r="E193" s="20"/>
      <c r="F193" s="21"/>
      <c r="G193" s="22"/>
      <c r="H193" s="30" t="str">
        <f>CONCATENATE(H192," - ","VÃO")</f>
        <v>SANIT. MASC - VÃO</v>
      </c>
      <c r="I193" s="55"/>
      <c r="J193" s="56">
        <v>-1</v>
      </c>
      <c r="K193" s="57"/>
      <c r="L193" s="57"/>
      <c r="M193" s="57"/>
      <c r="N193" s="111">
        <f>0.9*2.1+3.15*0.66</f>
        <v>3.9690000000000003</v>
      </c>
      <c r="O193" s="58">
        <f t="shared" si="2"/>
        <v>-3.97</v>
      </c>
      <c r="P193" s="185"/>
      <c r="Q193" s="185"/>
    </row>
    <row r="194" spans="5:17" hidden="1" outlineLevel="2">
      <c r="E194" s="20"/>
      <c r="F194" s="21"/>
      <c r="G194" s="22"/>
      <c r="H194" s="30" t="s">
        <v>2906</v>
      </c>
      <c r="I194" s="55"/>
      <c r="J194" s="56"/>
      <c r="K194" s="57">
        <f>14.93+14.78+8.42+8.27</f>
        <v>46.400000000000006</v>
      </c>
      <c r="L194" s="57"/>
      <c r="M194" s="57">
        <v>3.55</v>
      </c>
      <c r="N194" s="85"/>
      <c r="O194" s="58">
        <f t="shared" si="2"/>
        <v>164.72</v>
      </c>
      <c r="P194" s="185"/>
      <c r="Q194" s="185"/>
    </row>
    <row r="195" spans="5:17" hidden="1" outlineLevel="2">
      <c r="E195" s="20"/>
      <c r="F195" s="21"/>
      <c r="G195" s="22"/>
      <c r="H195" s="30" t="str">
        <f>CONCATENATE(H194," - ","VÃO")</f>
        <v>BIBLIOTECA - VÃO</v>
      </c>
      <c r="I195" s="55"/>
      <c r="J195" s="56">
        <v>-1</v>
      </c>
      <c r="K195" s="57"/>
      <c r="L195" s="57"/>
      <c r="M195" s="57"/>
      <c r="N195" s="111">
        <f>1.6*5+1.29*4.24*3+4.44*1.26*2</f>
        <v>35.5976</v>
      </c>
      <c r="O195" s="58">
        <f t="shared" si="2"/>
        <v>-35.6</v>
      </c>
      <c r="P195" s="185"/>
      <c r="Q195" s="185"/>
    </row>
    <row r="196" spans="5:17" hidden="1" outlineLevel="2">
      <c r="E196" s="20"/>
      <c r="F196" s="21"/>
      <c r="G196" s="22"/>
      <c r="H196" s="30" t="s">
        <v>2907</v>
      </c>
      <c r="I196" s="55"/>
      <c r="J196" s="56"/>
      <c r="K196" s="57">
        <f>13.88+25.5+25.5+0.7+0.75+0.8+0.75+1.27</f>
        <v>69.149999999999991</v>
      </c>
      <c r="L196" s="57"/>
      <c r="M196" s="57">
        <v>3.55</v>
      </c>
      <c r="N196" s="85"/>
      <c r="O196" s="58">
        <f t="shared" ref="O196:O201" si="3">ROUND(PRODUCT(J196:N196),2)</f>
        <v>245.48</v>
      </c>
      <c r="P196" s="185"/>
      <c r="Q196" s="185"/>
    </row>
    <row r="197" spans="5:17" hidden="1" outlineLevel="2">
      <c r="E197" s="20"/>
      <c r="F197" s="21"/>
      <c r="G197" s="22"/>
      <c r="H197" s="30" t="str">
        <f>CONCATENATE(H196," - ","VÃO")</f>
        <v>AUDITÓRIO - VÃO</v>
      </c>
      <c r="I197" s="55"/>
      <c r="J197" s="56">
        <v>-1</v>
      </c>
      <c r="K197" s="57"/>
      <c r="L197" s="57"/>
      <c r="M197" s="57"/>
      <c r="N197" s="111">
        <f>0.9*2.1+3.15*0.66</f>
        <v>3.9690000000000003</v>
      </c>
      <c r="O197" s="58">
        <f t="shared" si="3"/>
        <v>-3.97</v>
      </c>
      <c r="P197" s="185"/>
      <c r="Q197" s="185"/>
    </row>
    <row r="198" spans="5:17" hidden="1" outlineLevel="2">
      <c r="E198" s="20"/>
      <c r="F198" s="21"/>
      <c r="G198" s="22"/>
      <c r="H198" s="30" t="s">
        <v>2908</v>
      </c>
      <c r="I198" s="55"/>
      <c r="J198" s="56"/>
      <c r="K198" s="57">
        <f>13.48+1.65+1.65+5.8</f>
        <v>22.580000000000002</v>
      </c>
      <c r="L198" s="57"/>
      <c r="M198" s="57">
        <v>3.55</v>
      </c>
      <c r="N198" s="38"/>
      <c r="O198" s="58">
        <f t="shared" si="3"/>
        <v>80.16</v>
      </c>
      <c r="P198" s="185"/>
      <c r="Q198" s="185"/>
    </row>
    <row r="199" spans="5:17" hidden="1" outlineLevel="2">
      <c r="E199" s="20"/>
      <c r="F199" s="21"/>
      <c r="G199" s="22"/>
      <c r="H199" s="30" t="str">
        <f>CONCATENATE(H198," - ","VÃO")</f>
        <v>SALA TECNICA - VÃO</v>
      </c>
      <c r="I199" s="55"/>
      <c r="J199" s="56">
        <v>-1</v>
      </c>
      <c r="K199" s="57"/>
      <c r="L199" s="57"/>
      <c r="M199" s="57"/>
      <c r="N199" s="111">
        <f>0.9*2.1+3.15*0.66</f>
        <v>3.9690000000000003</v>
      </c>
      <c r="O199" s="58">
        <f t="shared" si="3"/>
        <v>-3.97</v>
      </c>
      <c r="P199" s="185"/>
      <c r="Q199" s="185"/>
    </row>
    <row r="200" spans="5:17" hidden="1" outlineLevel="2">
      <c r="E200" s="20"/>
      <c r="F200" s="21"/>
      <c r="G200" s="22"/>
      <c r="H200" s="30" t="s">
        <v>2909</v>
      </c>
      <c r="I200" s="55"/>
      <c r="J200" s="56"/>
      <c r="K200" s="57">
        <f>13.48+4*1.91+9.7</f>
        <v>30.82</v>
      </c>
      <c r="L200" s="57"/>
      <c r="M200" s="57">
        <v>3.55</v>
      </c>
      <c r="N200" s="38"/>
      <c r="O200" s="58">
        <f t="shared" si="3"/>
        <v>109.41</v>
      </c>
      <c r="P200" s="185"/>
      <c r="Q200" s="185"/>
    </row>
    <row r="201" spans="5:17" hidden="1" outlineLevel="2">
      <c r="E201" s="20"/>
      <c r="F201" s="21"/>
      <c r="G201" s="22"/>
      <c r="H201" s="30" t="str">
        <f>CONCATENATE(H200," - ","VÃO")</f>
        <v>WC FEM, WC PCD, WC MASC - VÃO</v>
      </c>
      <c r="I201" s="55"/>
      <c r="J201" s="56">
        <v>-1</v>
      </c>
      <c r="K201" s="57"/>
      <c r="L201" s="57"/>
      <c r="M201" s="57"/>
      <c r="N201" s="111">
        <f>0.9*2.1+3.15*0.66</f>
        <v>3.9690000000000003</v>
      </c>
      <c r="O201" s="58">
        <f t="shared" si="3"/>
        <v>-3.97</v>
      </c>
      <c r="P201" s="185"/>
      <c r="Q201" s="185"/>
    </row>
    <row r="202" spans="5:17" hidden="1" outlineLevel="2">
      <c r="E202" s="20"/>
      <c r="F202" s="21"/>
      <c r="G202" s="22"/>
      <c r="H202" s="24" t="s">
        <v>2910</v>
      </c>
      <c r="I202" s="24"/>
      <c r="J202" s="25"/>
      <c r="K202" s="10"/>
      <c r="L202" s="32"/>
      <c r="M202" s="10"/>
      <c r="N202" s="85"/>
      <c r="O202" s="31">
        <f t="shared" ref="O202:O233" si="4">ROUND(PRODUCT(J202:N202),2)</f>
        <v>0</v>
      </c>
      <c r="P202" s="185"/>
      <c r="Q202" s="185"/>
    </row>
    <row r="203" spans="5:17" hidden="1" outlineLevel="2">
      <c r="E203" s="20"/>
      <c r="F203" s="21"/>
      <c r="G203" s="22"/>
      <c r="H203" s="30" t="s">
        <v>2911</v>
      </c>
      <c r="I203" s="55"/>
      <c r="J203" s="56"/>
      <c r="K203" s="57">
        <f>7.15*2+8.85*2</f>
        <v>32</v>
      </c>
      <c r="L203" s="57"/>
      <c r="M203" s="57">
        <v>3.55</v>
      </c>
      <c r="N203" s="85"/>
      <c r="O203" s="58">
        <f t="shared" si="4"/>
        <v>113.6</v>
      </c>
      <c r="P203" s="185"/>
      <c r="Q203" s="185"/>
    </row>
    <row r="204" spans="5:17" hidden="1" outlineLevel="2">
      <c r="E204" s="20"/>
      <c r="F204" s="21"/>
      <c r="G204" s="22"/>
      <c r="H204" s="30" t="str">
        <f>CONCATENATE(H203," - ","VÃO")</f>
        <v>SALA 1 - VÃO</v>
      </c>
      <c r="I204" s="55"/>
      <c r="J204" s="56">
        <v>-1</v>
      </c>
      <c r="K204" s="57"/>
      <c r="L204" s="57"/>
      <c r="M204" s="57"/>
      <c r="N204" s="38">
        <f>(0.9*2.1)+2*(3.81*0.46)+2*(3.81*1.26)</f>
        <v>14.996400000000001</v>
      </c>
      <c r="O204" s="58">
        <f t="shared" si="4"/>
        <v>-15</v>
      </c>
      <c r="P204" s="185"/>
      <c r="Q204" s="185"/>
    </row>
    <row r="205" spans="5:17" hidden="1" outlineLevel="2">
      <c r="E205" s="20"/>
      <c r="F205" s="21"/>
      <c r="G205" s="22"/>
      <c r="H205" s="30" t="s">
        <v>2912</v>
      </c>
      <c r="I205" s="55"/>
      <c r="J205" s="56"/>
      <c r="K205" s="57">
        <f>7.15+8.85*2</f>
        <v>24.85</v>
      </c>
      <c r="L205" s="57"/>
      <c r="M205" s="57">
        <v>3.55</v>
      </c>
      <c r="N205" s="38"/>
      <c r="O205" s="58">
        <f t="shared" si="4"/>
        <v>88.22</v>
      </c>
      <c r="P205" s="185"/>
      <c r="Q205" s="185"/>
    </row>
    <row r="206" spans="5:17" hidden="1" outlineLevel="2">
      <c r="E206" s="20"/>
      <c r="F206" s="21"/>
      <c r="G206" s="22"/>
      <c r="H206" s="30" t="str">
        <f>CONCATENATE(H205," - ","VÃO")</f>
        <v>SALA 2 - VÃO</v>
      </c>
      <c r="I206" s="55"/>
      <c r="J206" s="56">
        <v>-1</v>
      </c>
      <c r="K206" s="57"/>
      <c r="L206" s="57"/>
      <c r="M206" s="57"/>
      <c r="N206" s="38">
        <f>(0.9*2.1)+2*(3.81*0.46)+2*(3.81*1.26)</f>
        <v>14.996400000000001</v>
      </c>
      <c r="O206" s="58">
        <f t="shared" si="4"/>
        <v>-15</v>
      </c>
      <c r="P206" s="185"/>
      <c r="Q206" s="185"/>
    </row>
    <row r="207" spans="5:17" hidden="1" outlineLevel="2">
      <c r="E207" s="20"/>
      <c r="F207" s="21"/>
      <c r="G207" s="22"/>
      <c r="H207" s="30" t="s">
        <v>2913</v>
      </c>
      <c r="I207" s="55"/>
      <c r="J207" s="56"/>
      <c r="K207" s="57">
        <f>7.15+8.85*2</f>
        <v>24.85</v>
      </c>
      <c r="L207" s="57"/>
      <c r="M207" s="57">
        <v>3.55</v>
      </c>
      <c r="N207" s="38"/>
      <c r="O207" s="58">
        <f t="shared" si="4"/>
        <v>88.22</v>
      </c>
      <c r="P207" s="185"/>
      <c r="Q207" s="84"/>
    </row>
    <row r="208" spans="5:17" hidden="1" outlineLevel="2">
      <c r="E208" s="20"/>
      <c r="F208" s="21"/>
      <c r="G208" s="22"/>
      <c r="H208" s="30" t="str">
        <f>CONCATENATE(H207," - ","VÃO")</f>
        <v>SALA 3 - VÃO</v>
      </c>
      <c r="I208" s="55"/>
      <c r="J208" s="56">
        <v>-1</v>
      </c>
      <c r="K208" s="57"/>
      <c r="L208" s="57"/>
      <c r="M208" s="57"/>
      <c r="N208" s="38">
        <f>(0.9*2.1)+2*(3.81*0.46)+2*(3.81*1.26)</f>
        <v>14.996400000000001</v>
      </c>
      <c r="O208" s="58">
        <f t="shared" si="4"/>
        <v>-15</v>
      </c>
      <c r="P208" s="185"/>
      <c r="Q208" s="185"/>
    </row>
    <row r="209" spans="5:17" hidden="1" outlineLevel="2">
      <c r="E209" s="20"/>
      <c r="F209" s="21"/>
      <c r="G209" s="22"/>
      <c r="H209" s="30" t="s">
        <v>2914</v>
      </c>
      <c r="I209" s="55"/>
      <c r="J209" s="56"/>
      <c r="K209" s="57">
        <f>7.15+8.85*2</f>
        <v>24.85</v>
      </c>
      <c r="L209" s="57"/>
      <c r="M209" s="57">
        <v>3.55</v>
      </c>
      <c r="N209" s="38"/>
      <c r="O209" s="58">
        <f t="shared" si="4"/>
        <v>88.22</v>
      </c>
      <c r="P209" s="185"/>
      <c r="Q209" s="185"/>
    </row>
    <row r="210" spans="5:17" hidden="1" outlineLevel="2">
      <c r="E210" s="20"/>
      <c r="F210" s="21"/>
      <c r="G210" s="22"/>
      <c r="H210" s="30" t="str">
        <f>CONCATENATE(H209," - ","VÃO")</f>
        <v>SALA 4 - VÃO</v>
      </c>
      <c r="I210" s="55"/>
      <c r="J210" s="56">
        <v>-1</v>
      </c>
      <c r="K210" s="57"/>
      <c r="L210" s="57"/>
      <c r="M210" s="57"/>
      <c r="N210" s="38">
        <f>(0.9*2.1)+2*(3.81*0.46)+2*(3.81*1.26)</f>
        <v>14.996400000000001</v>
      </c>
      <c r="O210" s="58">
        <f t="shared" si="4"/>
        <v>-15</v>
      </c>
      <c r="P210" s="185"/>
      <c r="Q210" s="185"/>
    </row>
    <row r="211" spans="5:17" hidden="1" outlineLevel="2">
      <c r="E211" s="20"/>
      <c r="F211" s="21"/>
      <c r="G211" s="22"/>
      <c r="H211" s="30" t="s">
        <v>2915</v>
      </c>
      <c r="I211" s="55"/>
      <c r="J211" s="56"/>
      <c r="K211" s="57">
        <f>7.15+8.85*2</f>
        <v>24.85</v>
      </c>
      <c r="L211" s="57"/>
      <c r="M211" s="57">
        <v>3.55</v>
      </c>
      <c r="N211" s="38"/>
      <c r="O211" s="58">
        <f t="shared" si="4"/>
        <v>88.22</v>
      </c>
      <c r="P211" s="185"/>
      <c r="Q211" s="185"/>
    </row>
    <row r="212" spans="5:17" hidden="1" outlineLevel="2">
      <c r="E212" s="20"/>
      <c r="F212" s="21"/>
      <c r="G212" s="22"/>
      <c r="H212" s="30" t="str">
        <f>CONCATENATE(H211," - ","VÃO")</f>
        <v>SALA 5 - VÃO</v>
      </c>
      <c r="I212" s="55"/>
      <c r="J212" s="56">
        <v>-1</v>
      </c>
      <c r="K212" s="57"/>
      <c r="L212" s="57"/>
      <c r="M212" s="57"/>
      <c r="N212" s="38">
        <f>(0.9*2.1)+2*(3.81*0.46)+2*(3.81*1.26)</f>
        <v>14.996400000000001</v>
      </c>
      <c r="O212" s="58">
        <f t="shared" si="4"/>
        <v>-15</v>
      </c>
      <c r="P212" s="185"/>
      <c r="Q212" s="185"/>
    </row>
    <row r="213" spans="5:17" hidden="1" outlineLevel="2">
      <c r="E213" s="20"/>
      <c r="F213" s="21"/>
      <c r="G213" s="22"/>
      <c r="H213" s="30" t="s">
        <v>2916</v>
      </c>
      <c r="I213" s="55"/>
      <c r="J213" s="56"/>
      <c r="K213" s="57">
        <f>2*7+1.81+8.85</f>
        <v>24.66</v>
      </c>
      <c r="L213" s="57"/>
      <c r="M213" s="57">
        <v>3.55</v>
      </c>
      <c r="N213" s="38"/>
      <c r="O213" s="58">
        <f>ROUND(PRODUCT(J213:N213),2)</f>
        <v>87.54</v>
      </c>
      <c r="P213" s="185"/>
      <c r="Q213" s="185"/>
    </row>
    <row r="214" spans="5:17" hidden="1" outlineLevel="2">
      <c r="E214" s="20"/>
      <c r="F214" s="21"/>
      <c r="G214" s="22"/>
      <c r="H214" s="30" t="str">
        <f>CONCATENATE(H213," - ","VÃO")</f>
        <v>SALA 6 - VÃO</v>
      </c>
      <c r="I214" s="55"/>
      <c r="J214" s="56">
        <v>-1</v>
      </c>
      <c r="K214" s="57"/>
      <c r="L214" s="57"/>
      <c r="M214" s="57"/>
      <c r="N214" s="38">
        <f>(0.9*2.1)+3*(3.81*1.26)</f>
        <v>16.291800000000002</v>
      </c>
      <c r="O214" s="58">
        <f>ROUND(PRODUCT(J214:N214),2)</f>
        <v>-16.29</v>
      </c>
      <c r="P214" s="185"/>
      <c r="Q214" s="185"/>
    </row>
    <row r="215" spans="5:17" hidden="1" outlineLevel="2">
      <c r="E215" s="20"/>
      <c r="F215" s="21"/>
      <c r="G215" s="22"/>
      <c r="H215" s="30" t="s">
        <v>2917</v>
      </c>
      <c r="I215" s="55"/>
      <c r="J215" s="56"/>
      <c r="K215" s="57">
        <f>6.85+9*2</f>
        <v>24.85</v>
      </c>
      <c r="L215" s="57"/>
      <c r="M215" s="57">
        <v>3.55</v>
      </c>
      <c r="N215" s="38"/>
      <c r="O215" s="58">
        <f t="shared" si="4"/>
        <v>88.22</v>
      </c>
      <c r="P215" s="185"/>
      <c r="Q215" s="185"/>
    </row>
    <row r="216" spans="5:17" hidden="1" outlineLevel="2">
      <c r="E216" s="20"/>
      <c r="F216" s="21"/>
      <c r="G216" s="22"/>
      <c r="H216" s="30" t="str">
        <f>CONCATENATE(H215," - ","VÃO")</f>
        <v>SALA 7 - VÃO</v>
      </c>
      <c r="I216" s="55"/>
      <c r="J216" s="56">
        <v>-1</v>
      </c>
      <c r="K216" s="57"/>
      <c r="L216" s="57"/>
      <c r="M216" s="57"/>
      <c r="N216" s="38">
        <f>(0.9*2.1)+2*(3.81*1.26)+2*(3.15*1.26)</f>
        <v>19.429200000000002</v>
      </c>
      <c r="O216" s="58">
        <f t="shared" si="4"/>
        <v>-19.43</v>
      </c>
      <c r="P216" s="185"/>
      <c r="Q216" s="185"/>
    </row>
    <row r="217" spans="5:17" hidden="1" outlineLevel="2">
      <c r="E217" s="20"/>
      <c r="F217" s="21"/>
      <c r="G217" s="22"/>
      <c r="H217" s="30" t="s">
        <v>2918</v>
      </c>
      <c r="I217" s="55"/>
      <c r="J217" s="56"/>
      <c r="K217" s="57">
        <f>7.15+8.85*2</f>
        <v>24.85</v>
      </c>
      <c r="L217" s="57"/>
      <c r="M217" s="57">
        <v>3.55</v>
      </c>
      <c r="N217" s="38"/>
      <c r="O217" s="58">
        <f t="shared" ref="O217:O226" si="5">ROUND(PRODUCT(J217:N217),2)</f>
        <v>88.22</v>
      </c>
      <c r="P217" s="185"/>
      <c r="Q217" s="185"/>
    </row>
    <row r="218" spans="5:17" hidden="1" outlineLevel="2">
      <c r="E218" s="20"/>
      <c r="F218" s="21"/>
      <c r="G218" s="22"/>
      <c r="H218" s="30" t="str">
        <f>CONCATENATE(H217," - ","VÃO")</f>
        <v>SALA 8 - VÃO</v>
      </c>
      <c r="I218" s="55"/>
      <c r="J218" s="56">
        <v>-1</v>
      </c>
      <c r="K218" s="57"/>
      <c r="L218" s="57"/>
      <c r="M218" s="57"/>
      <c r="N218" s="38">
        <f>(0.9*2.1)+2*(3.81*0.46)+2*(3.81*1.26)</f>
        <v>14.996400000000001</v>
      </c>
      <c r="O218" s="58">
        <f t="shared" si="5"/>
        <v>-15</v>
      </c>
      <c r="P218" s="185"/>
      <c r="Q218" s="185"/>
    </row>
    <row r="219" spans="5:17" hidden="1" outlineLevel="2">
      <c r="E219" s="20"/>
      <c r="F219" s="21"/>
      <c r="G219" s="22"/>
      <c r="H219" s="30" t="s">
        <v>2919</v>
      </c>
      <c r="I219" s="55"/>
      <c r="J219" s="56"/>
      <c r="K219" s="57">
        <f>7.15+8.85*2</f>
        <v>24.85</v>
      </c>
      <c r="L219" s="57"/>
      <c r="M219" s="57">
        <v>3.55</v>
      </c>
      <c r="N219" s="38"/>
      <c r="O219" s="58">
        <f t="shared" si="5"/>
        <v>88.22</v>
      </c>
      <c r="P219" s="185"/>
      <c r="Q219" s="185"/>
    </row>
    <row r="220" spans="5:17" hidden="1" outlineLevel="2">
      <c r="E220" s="20"/>
      <c r="F220" s="21"/>
      <c r="G220" s="22"/>
      <c r="H220" s="30" t="str">
        <f>CONCATENATE(H219," - ","VÃO")</f>
        <v>SALA 9 - VÃO</v>
      </c>
      <c r="I220" s="55"/>
      <c r="J220" s="56">
        <v>-1</v>
      </c>
      <c r="K220" s="57"/>
      <c r="L220" s="57"/>
      <c r="M220" s="57"/>
      <c r="N220" s="38">
        <f>(0.9*2.1)+2*(3.81*0.46)+2*(3.81*1.26)</f>
        <v>14.996400000000001</v>
      </c>
      <c r="O220" s="58">
        <f t="shared" si="5"/>
        <v>-15</v>
      </c>
      <c r="P220" s="185"/>
      <c r="Q220" s="185"/>
    </row>
    <row r="221" spans="5:17" hidden="1" outlineLevel="2">
      <c r="E221" s="20"/>
      <c r="F221" s="21"/>
      <c r="G221" s="22"/>
      <c r="H221" s="30" t="s">
        <v>2920</v>
      </c>
      <c r="I221" s="55"/>
      <c r="J221" s="56"/>
      <c r="K221" s="57">
        <f>7.15+8.85*2</f>
        <v>24.85</v>
      </c>
      <c r="L221" s="57"/>
      <c r="M221" s="57">
        <v>3.55</v>
      </c>
      <c r="N221" s="38"/>
      <c r="O221" s="58">
        <f t="shared" si="5"/>
        <v>88.22</v>
      </c>
      <c r="P221" s="185"/>
      <c r="Q221" s="84"/>
    </row>
    <row r="222" spans="5:17" hidden="1" outlineLevel="2">
      <c r="E222" s="20"/>
      <c r="F222" s="21"/>
      <c r="G222" s="22"/>
      <c r="H222" s="30" t="str">
        <f>CONCATENATE(H221," - ","VÃO")</f>
        <v>SALA 10 - VÃO</v>
      </c>
      <c r="I222" s="55"/>
      <c r="J222" s="56">
        <v>-1</v>
      </c>
      <c r="K222" s="57"/>
      <c r="L222" s="57"/>
      <c r="M222" s="57"/>
      <c r="N222" s="38">
        <f>(0.9*2.1)+2*(3.81*0.46)+2*(3.81*1.26)</f>
        <v>14.996400000000001</v>
      </c>
      <c r="O222" s="58">
        <f t="shared" si="5"/>
        <v>-15</v>
      </c>
      <c r="P222" s="185"/>
      <c r="Q222" s="185"/>
    </row>
    <row r="223" spans="5:17" hidden="1" outlineLevel="2">
      <c r="E223" s="20"/>
      <c r="F223" s="21"/>
      <c r="G223" s="22"/>
      <c r="H223" s="30" t="s">
        <v>2921</v>
      </c>
      <c r="I223" s="55"/>
      <c r="J223" s="56"/>
      <c r="K223" s="57">
        <f>7.15+8.85*2</f>
        <v>24.85</v>
      </c>
      <c r="L223" s="57"/>
      <c r="M223" s="57">
        <v>3.55</v>
      </c>
      <c r="N223" s="38"/>
      <c r="O223" s="58">
        <f t="shared" si="5"/>
        <v>88.22</v>
      </c>
      <c r="P223" s="185"/>
      <c r="Q223" s="185"/>
    </row>
    <row r="224" spans="5:17" hidden="1" outlineLevel="2">
      <c r="E224" s="20"/>
      <c r="F224" s="21"/>
      <c r="G224" s="22"/>
      <c r="H224" s="30" t="str">
        <f>CONCATENATE(H223," - ","VÃO")</f>
        <v>SALA 11 - VÃO</v>
      </c>
      <c r="I224" s="55"/>
      <c r="J224" s="56">
        <v>-1</v>
      </c>
      <c r="K224" s="57"/>
      <c r="L224" s="57"/>
      <c r="M224" s="57"/>
      <c r="N224" s="38">
        <f>(0.9*2.1)+2*(3.81*0.46)+2*(3.81*1.26)</f>
        <v>14.996400000000001</v>
      </c>
      <c r="O224" s="58">
        <f t="shared" si="5"/>
        <v>-15</v>
      </c>
      <c r="P224" s="185"/>
      <c r="Q224" s="185"/>
    </row>
    <row r="225" spans="5:17" hidden="1" outlineLevel="2">
      <c r="E225" s="20"/>
      <c r="F225" s="21"/>
      <c r="G225" s="22"/>
      <c r="H225" s="30" t="s">
        <v>2922</v>
      </c>
      <c r="I225" s="55"/>
      <c r="J225" s="56"/>
      <c r="K225" s="57">
        <f>7.15*2+8.85*2</f>
        <v>32</v>
      </c>
      <c r="L225" s="57"/>
      <c r="M225" s="57">
        <v>3.55</v>
      </c>
      <c r="N225" s="38"/>
      <c r="O225" s="58">
        <f t="shared" si="5"/>
        <v>113.6</v>
      </c>
      <c r="P225" s="185"/>
      <c r="Q225" s="185"/>
    </row>
    <row r="226" spans="5:17" hidden="1" outlineLevel="2">
      <c r="E226" s="20"/>
      <c r="F226" s="21"/>
      <c r="G226" s="22"/>
      <c r="H226" s="30" t="str">
        <f>CONCATENATE(H225," - ","VÃO")</f>
        <v>SALA 12 - VÃO</v>
      </c>
      <c r="I226" s="55"/>
      <c r="J226" s="56">
        <v>-1</v>
      </c>
      <c r="K226" s="57"/>
      <c r="L226" s="57"/>
      <c r="M226" s="57"/>
      <c r="N226" s="38">
        <f>(0.9*2.1)+2*(3.81*0.46)+2*(3.81*1.26)</f>
        <v>14.996400000000001</v>
      </c>
      <c r="O226" s="58">
        <f t="shared" si="5"/>
        <v>-15</v>
      </c>
      <c r="P226" s="185"/>
      <c r="Q226" s="185"/>
    </row>
    <row r="227" spans="5:17" hidden="1" outlineLevel="2">
      <c r="E227" s="20"/>
      <c r="F227" s="21"/>
      <c r="G227" s="22"/>
      <c r="H227" s="30" t="s">
        <v>2923</v>
      </c>
      <c r="I227" s="55"/>
      <c r="J227" s="56"/>
      <c r="K227" s="57">
        <f>3.36+1.29+3.35+5.85</f>
        <v>13.85</v>
      </c>
      <c r="L227" s="57"/>
      <c r="M227" s="57">
        <v>3.55</v>
      </c>
      <c r="N227" s="85"/>
      <c r="O227" s="58">
        <f t="shared" si="4"/>
        <v>49.17</v>
      </c>
      <c r="P227" s="185"/>
      <c r="Q227" s="185"/>
    </row>
    <row r="228" spans="5:17" hidden="1" outlineLevel="2">
      <c r="E228" s="20"/>
      <c r="F228" s="21"/>
      <c r="G228" s="22"/>
      <c r="H228" s="30" t="str">
        <f>CONCATENATE(H227," - ","VÃO")</f>
        <v>SANIT. FEMININO - VÃO</v>
      </c>
      <c r="I228" s="55"/>
      <c r="J228" s="56">
        <v>-1</v>
      </c>
      <c r="K228" s="57"/>
      <c r="L228" s="57"/>
      <c r="M228" s="57"/>
      <c r="N228" s="38">
        <f>(3.15*0.66)+(0.9*2.1)</f>
        <v>3.9690000000000003</v>
      </c>
      <c r="O228" s="58">
        <f t="shared" si="4"/>
        <v>-3.97</v>
      </c>
      <c r="P228" s="185"/>
      <c r="Q228" s="185"/>
    </row>
    <row r="229" spans="5:17" hidden="1" outlineLevel="2">
      <c r="E229" s="20"/>
      <c r="F229" s="21"/>
      <c r="G229" s="22"/>
      <c r="H229" s="30" t="s">
        <v>2924</v>
      </c>
      <c r="I229" s="55"/>
      <c r="J229" s="56"/>
      <c r="K229" s="57">
        <f>1.29+1.15+2.36+7+3.35</f>
        <v>15.15</v>
      </c>
      <c r="L229" s="57"/>
      <c r="M229" s="57">
        <v>3.55</v>
      </c>
      <c r="N229" s="38"/>
      <c r="O229" s="58">
        <f t="shared" si="4"/>
        <v>53.78</v>
      </c>
      <c r="P229" s="185"/>
      <c r="Q229" s="185"/>
    </row>
    <row r="230" spans="5:17" hidden="1" outlineLevel="2">
      <c r="E230" s="20"/>
      <c r="F230" s="21"/>
      <c r="G230" s="22"/>
      <c r="H230" s="30" t="str">
        <f>CONCATENATE(H229," - ","VÃO")</f>
        <v>SANIT. MASCULINO - VÃO</v>
      </c>
      <c r="I230" s="55"/>
      <c r="J230" s="56">
        <v>-1</v>
      </c>
      <c r="K230" s="57"/>
      <c r="L230" s="57"/>
      <c r="M230" s="90"/>
      <c r="N230" s="38">
        <f>(3.15*0.66)+(0.9*2.1)</f>
        <v>3.9690000000000003</v>
      </c>
      <c r="O230" s="58">
        <f t="shared" si="4"/>
        <v>-3.97</v>
      </c>
      <c r="P230" s="185"/>
      <c r="Q230" s="185"/>
    </row>
    <row r="231" spans="5:17" hidden="1" outlineLevel="2">
      <c r="E231" s="20"/>
      <c r="F231" s="21"/>
      <c r="G231" s="22"/>
      <c r="H231" s="30" t="s">
        <v>2925</v>
      </c>
      <c r="I231" s="55"/>
      <c r="J231" s="56"/>
      <c r="K231" s="57">
        <f>1.85*2</f>
        <v>3.7</v>
      </c>
      <c r="L231" s="57"/>
      <c r="M231" s="57">
        <v>3.55</v>
      </c>
      <c r="N231" s="38"/>
      <c r="O231" s="58">
        <f t="shared" si="4"/>
        <v>13.14</v>
      </c>
      <c r="P231" s="185"/>
      <c r="Q231" s="185"/>
    </row>
    <row r="232" spans="5:17" hidden="1" outlineLevel="2">
      <c r="E232" s="20"/>
      <c r="F232" s="21"/>
      <c r="G232" s="22"/>
      <c r="H232" s="30" t="str">
        <f>CONCATENATE(H231," - ","VÃO")</f>
        <v>WC PCD MASC - VÃO</v>
      </c>
      <c r="I232" s="55"/>
      <c r="J232" s="56">
        <v>-1</v>
      </c>
      <c r="K232" s="57"/>
      <c r="L232" s="57"/>
      <c r="M232" s="57"/>
      <c r="N232" s="38">
        <f>(1.29*0.46)+(0.9*2.1)</f>
        <v>2.4834000000000001</v>
      </c>
      <c r="O232" s="58">
        <f t="shared" si="4"/>
        <v>-2.48</v>
      </c>
      <c r="P232" s="185"/>
      <c r="Q232" s="185"/>
    </row>
    <row r="233" spans="5:17" hidden="1" outlineLevel="2">
      <c r="E233" s="20"/>
      <c r="F233" s="21"/>
      <c r="G233" s="22"/>
      <c r="H233" s="30" t="s">
        <v>2878</v>
      </c>
      <c r="I233" s="55"/>
      <c r="J233" s="56"/>
      <c r="K233" s="57">
        <f>(5.25*2)+(2*1.6)</f>
        <v>13.7</v>
      </c>
      <c r="L233" s="57"/>
      <c r="M233" s="57">
        <v>3.55</v>
      </c>
      <c r="N233" s="85"/>
      <c r="O233" s="58">
        <f t="shared" si="4"/>
        <v>48.64</v>
      </c>
      <c r="P233" s="185"/>
      <c r="Q233" s="185"/>
    </row>
    <row r="234" spans="5:17" hidden="1" outlineLevel="2">
      <c r="E234" s="20"/>
      <c r="F234" s="21"/>
      <c r="G234" s="22"/>
      <c r="H234" s="30" t="str">
        <f>CONCATENATE(H233," - ","VÃO")</f>
        <v>WC PCD FEM - VÃO</v>
      </c>
      <c r="I234" s="55"/>
      <c r="J234" s="56">
        <v>-1</v>
      </c>
      <c r="K234" s="57"/>
      <c r="L234" s="57"/>
      <c r="M234" s="90"/>
      <c r="N234" s="38">
        <f>0.9*2.1+1.5*0.9</f>
        <v>3.24</v>
      </c>
      <c r="O234" s="58">
        <f t="shared" ref="O234:O244" si="6">ROUND(PRODUCT(J234:N234),2)</f>
        <v>-3.24</v>
      </c>
      <c r="P234" s="185"/>
      <c r="Q234" s="185"/>
    </row>
    <row r="235" spans="5:17" s="101" customFormat="1" hidden="1" outlineLevel="2">
      <c r="E235" s="102"/>
      <c r="F235" s="88"/>
      <c r="G235" s="89"/>
      <c r="H235" s="30" t="s">
        <v>2926</v>
      </c>
      <c r="I235" s="55"/>
      <c r="J235" s="56"/>
      <c r="K235" s="57">
        <f>5.25*2+3.75</f>
        <v>14.25</v>
      </c>
      <c r="L235" s="57"/>
      <c r="M235" s="57">
        <v>3.55</v>
      </c>
      <c r="N235" s="38"/>
      <c r="O235" s="104">
        <f t="shared" si="6"/>
        <v>50.59</v>
      </c>
      <c r="P235" s="112"/>
      <c r="Q235" s="112"/>
    </row>
    <row r="236" spans="5:17" s="101" customFormat="1" hidden="1" outlineLevel="2">
      <c r="E236" s="102"/>
      <c r="F236" s="88"/>
      <c r="G236" s="89"/>
      <c r="H236" s="30" t="str">
        <f>CONCATENATE(H235," - ","VÃO")</f>
        <v>ESCADAS 2  - VÃO</v>
      </c>
      <c r="I236" s="55"/>
      <c r="J236" s="56">
        <v>-1</v>
      </c>
      <c r="K236" s="57"/>
      <c r="L236" s="57"/>
      <c r="M236" s="57"/>
      <c r="N236" s="38">
        <f>3.3*2.7</f>
        <v>8.91</v>
      </c>
      <c r="O236" s="104">
        <f t="shared" si="6"/>
        <v>-8.91</v>
      </c>
      <c r="P236" s="112"/>
      <c r="Q236" s="112"/>
    </row>
    <row r="237" spans="5:17" hidden="1" outlineLevel="2">
      <c r="E237" s="20"/>
      <c r="F237" s="21"/>
      <c r="G237" s="22"/>
      <c r="H237" s="30" t="s">
        <v>2891</v>
      </c>
      <c r="I237" s="55"/>
      <c r="J237" s="56"/>
      <c r="K237" s="57">
        <f>5.25+2*1.72</f>
        <v>8.69</v>
      </c>
      <c r="L237" s="57"/>
      <c r="M237" s="57">
        <v>3.55</v>
      </c>
      <c r="N237" s="38"/>
      <c r="O237" s="58">
        <f t="shared" si="6"/>
        <v>30.85</v>
      </c>
      <c r="P237" s="185"/>
      <c r="Q237" s="185"/>
    </row>
    <row r="238" spans="5:17" hidden="1" outlineLevel="2">
      <c r="E238" s="20"/>
      <c r="F238" s="21"/>
      <c r="G238" s="22"/>
      <c r="H238" s="30" t="str">
        <f>CONCATENATE(H237," - ","VÃO")</f>
        <v>DEPÓSITO - VÃO</v>
      </c>
      <c r="I238" s="55"/>
      <c r="J238" s="56">
        <v>-1</v>
      </c>
      <c r="K238" s="57"/>
      <c r="L238" s="57"/>
      <c r="M238" s="57"/>
      <c r="N238" s="38">
        <f>2*1.8*2.7+1.5*0.9</f>
        <v>11.07</v>
      </c>
      <c r="O238" s="58">
        <f t="shared" si="6"/>
        <v>-11.07</v>
      </c>
      <c r="P238" s="185"/>
      <c r="Q238" s="185"/>
    </row>
    <row r="239" spans="5:17" s="101" customFormat="1" hidden="1" outlineLevel="2">
      <c r="E239" s="102"/>
      <c r="F239" s="88"/>
      <c r="G239" s="89"/>
      <c r="H239" s="30" t="s">
        <v>2888</v>
      </c>
      <c r="I239" s="55"/>
      <c r="J239" s="56"/>
      <c r="K239" s="57">
        <f>5.25*2+3.75</f>
        <v>14.25</v>
      </c>
      <c r="L239" s="57"/>
      <c r="M239" s="57">
        <v>3.55</v>
      </c>
      <c r="N239" s="38"/>
      <c r="O239" s="104">
        <f t="shared" si="6"/>
        <v>50.59</v>
      </c>
      <c r="P239" s="112"/>
      <c r="Q239" s="112"/>
    </row>
    <row r="240" spans="5:17" s="101" customFormat="1" hidden="1" outlineLevel="2">
      <c r="E240" s="102"/>
      <c r="F240" s="88"/>
      <c r="G240" s="89"/>
      <c r="H240" s="30" t="str">
        <f>CONCATENATE(H239," - ","VÃO")</f>
        <v>ESCADAS 1 - VÃO</v>
      </c>
      <c r="I240" s="55"/>
      <c r="J240" s="56">
        <v>-1</v>
      </c>
      <c r="K240" s="57"/>
      <c r="L240" s="57"/>
      <c r="M240" s="57"/>
      <c r="N240" s="38">
        <f>2*1.5*0.9+2.1*0.6</f>
        <v>3.96</v>
      </c>
      <c r="O240" s="104">
        <f t="shared" si="6"/>
        <v>-3.96</v>
      </c>
      <c r="P240" s="112"/>
      <c r="Q240" s="112"/>
    </row>
    <row r="241" spans="1:17" hidden="1" outlineLevel="2">
      <c r="E241" s="20"/>
      <c r="F241" s="21"/>
      <c r="G241" s="22"/>
      <c r="H241" s="30" t="s">
        <v>2906</v>
      </c>
      <c r="I241" s="55"/>
      <c r="J241" s="56"/>
      <c r="K241" s="57">
        <f>14.93+14.78+8.42+8.27</f>
        <v>46.400000000000006</v>
      </c>
      <c r="L241" s="57"/>
      <c r="M241" s="57">
        <v>3.55</v>
      </c>
      <c r="N241" s="38"/>
      <c r="O241" s="58">
        <f t="shared" si="6"/>
        <v>164.72</v>
      </c>
      <c r="P241" s="185"/>
      <c r="Q241" s="185"/>
    </row>
    <row r="242" spans="1:17" hidden="1" outlineLevel="2">
      <c r="E242" s="20"/>
      <c r="F242" s="21"/>
      <c r="G242" s="22"/>
      <c r="H242" s="30" t="str">
        <f>CONCATENATE(H241," - ","VÃO")</f>
        <v>BIBLIOTECA - VÃO</v>
      </c>
      <c r="I242" s="55"/>
      <c r="J242" s="56">
        <v>-1</v>
      </c>
      <c r="K242" s="57"/>
      <c r="L242" s="57"/>
      <c r="M242" s="57"/>
      <c r="N242" s="111">
        <f>0.9*2.1+2*4.44*1.26+5.64*0.46</f>
        <v>15.673200000000001</v>
      </c>
      <c r="O242" s="58">
        <f t="shared" si="6"/>
        <v>-15.67</v>
      </c>
      <c r="P242" s="185"/>
      <c r="Q242" s="185"/>
    </row>
    <row r="243" spans="1:17" hidden="1" outlineLevel="2">
      <c r="E243" s="20"/>
      <c r="F243" s="21"/>
      <c r="G243" s="22"/>
      <c r="H243" s="24" t="s">
        <v>158</v>
      </c>
      <c r="I243" s="24"/>
      <c r="J243" s="25"/>
      <c r="K243" s="10"/>
      <c r="L243" s="32"/>
      <c r="M243" s="10"/>
      <c r="N243" s="38"/>
      <c r="O243" s="31">
        <f t="shared" si="6"/>
        <v>0</v>
      </c>
      <c r="P243" s="185"/>
      <c r="Q243" s="185"/>
    </row>
    <row r="244" spans="1:17" hidden="1" outlineLevel="2">
      <c r="E244" s="20"/>
      <c r="F244" s="88"/>
      <c r="G244" s="89"/>
      <c r="H244" s="30" t="s">
        <v>2927</v>
      </c>
      <c r="I244" s="55"/>
      <c r="J244" s="56"/>
      <c r="K244" s="57">
        <f>261.53+13.77+13.77+88.79+7.59</f>
        <v>385.44999999999993</v>
      </c>
      <c r="L244" s="57"/>
      <c r="M244" s="57">
        <v>1.18</v>
      </c>
      <c r="N244" s="38"/>
      <c r="O244" s="104">
        <f t="shared" si="6"/>
        <v>454.83</v>
      </c>
      <c r="P244" s="185"/>
      <c r="Q244" s="185"/>
    </row>
    <row r="245" spans="1:17" ht="30" hidden="1" outlineLevel="1" collapsed="1">
      <c r="A245" s="2">
        <v>5</v>
      </c>
      <c r="B245" s="2">
        <v>3</v>
      </c>
      <c r="C245" s="2" t="e">
        <f>#REF!+1</f>
        <v>#REF!</v>
      </c>
      <c r="E245" s="20" t="e">
        <f>CONCATENATE(A245,".",B245,".",C245)</f>
        <v>#REF!</v>
      </c>
      <c r="F245" s="21" t="s">
        <v>2928</v>
      </c>
      <c r="G245" s="113">
        <v>102257</v>
      </c>
      <c r="H245" s="114" t="s">
        <v>1714</v>
      </c>
      <c r="I245" s="24" t="s">
        <v>45</v>
      </c>
      <c r="J245" s="25"/>
      <c r="K245" s="10"/>
      <c r="L245" s="32"/>
      <c r="M245" s="10"/>
      <c r="N245" s="33"/>
      <c r="O245" s="27">
        <f>SUM(O246:O253)</f>
        <v>41.8</v>
      </c>
      <c r="P245" s="185"/>
      <c r="Q245" s="185"/>
    </row>
    <row r="246" spans="1:17" hidden="1" outlineLevel="2">
      <c r="E246" s="20"/>
      <c r="F246" s="21"/>
      <c r="G246" s="22"/>
      <c r="H246" s="24" t="s">
        <v>2873</v>
      </c>
      <c r="I246" s="24"/>
      <c r="J246" s="25"/>
      <c r="K246" s="10"/>
      <c r="L246" s="32"/>
      <c r="M246" s="10"/>
      <c r="N246" s="33"/>
      <c r="O246" s="58"/>
      <c r="P246" s="185"/>
      <c r="Q246" s="185"/>
    </row>
    <row r="247" spans="1:17" hidden="1" outlineLevel="2">
      <c r="E247" s="20"/>
      <c r="F247" s="21"/>
      <c r="G247" s="22"/>
      <c r="H247" s="30" t="s">
        <v>2929</v>
      </c>
      <c r="I247" s="35"/>
      <c r="J247" s="25"/>
      <c r="K247" s="33">
        <v>1.29</v>
      </c>
      <c r="L247" s="41"/>
      <c r="M247" s="33">
        <v>1.8</v>
      </c>
      <c r="N247" s="33">
        <v>3</v>
      </c>
      <c r="O247" s="58">
        <f t="shared" ref="O247:O253" si="7">ROUND(PRODUCT(J247:N247),2)</f>
        <v>6.97</v>
      </c>
      <c r="P247" s="185"/>
      <c r="Q247" s="185"/>
    </row>
    <row r="248" spans="1:17" hidden="1" outlineLevel="2">
      <c r="E248" s="20"/>
      <c r="F248" s="21"/>
      <c r="G248" s="22"/>
      <c r="H248" s="30" t="s">
        <v>2930</v>
      </c>
      <c r="I248" s="35"/>
      <c r="J248" s="25"/>
      <c r="K248" s="33">
        <v>1.29</v>
      </c>
      <c r="L248" s="41"/>
      <c r="M248" s="33">
        <v>1.8</v>
      </c>
      <c r="N248" s="33">
        <v>1</v>
      </c>
      <c r="O248" s="58">
        <f t="shared" si="7"/>
        <v>2.3199999999999998</v>
      </c>
      <c r="P248" s="185"/>
      <c r="Q248" s="185"/>
    </row>
    <row r="249" spans="1:17" hidden="1" outlineLevel="2">
      <c r="E249" s="20"/>
      <c r="F249" s="21"/>
      <c r="G249" s="22"/>
      <c r="H249" s="30" t="s">
        <v>2931</v>
      </c>
      <c r="I249" s="35"/>
      <c r="J249" s="25"/>
      <c r="K249" s="33">
        <v>1.29</v>
      </c>
      <c r="L249" s="41"/>
      <c r="M249" s="33">
        <v>1.8</v>
      </c>
      <c r="N249" s="33">
        <v>1</v>
      </c>
      <c r="O249" s="58">
        <f t="shared" si="7"/>
        <v>2.3199999999999998</v>
      </c>
      <c r="P249" s="185"/>
      <c r="Q249" s="185"/>
    </row>
    <row r="250" spans="1:17" hidden="1" outlineLevel="2">
      <c r="E250" s="20"/>
      <c r="F250" s="21"/>
      <c r="G250" s="22"/>
      <c r="H250" s="30" t="s">
        <v>2932</v>
      </c>
      <c r="I250" s="35"/>
      <c r="J250" s="25"/>
      <c r="K250" s="33">
        <v>1.29</v>
      </c>
      <c r="L250" s="41"/>
      <c r="M250" s="33">
        <v>1.8</v>
      </c>
      <c r="N250" s="33">
        <v>3</v>
      </c>
      <c r="O250" s="58">
        <f t="shared" si="7"/>
        <v>6.97</v>
      </c>
      <c r="P250" s="185"/>
      <c r="Q250" s="185"/>
    </row>
    <row r="251" spans="1:17" hidden="1" outlineLevel="2">
      <c r="E251" s="20"/>
      <c r="F251" s="21"/>
      <c r="G251" s="22"/>
      <c r="H251" s="24" t="s">
        <v>2933</v>
      </c>
      <c r="I251" s="35"/>
      <c r="J251" s="25"/>
      <c r="K251" s="33"/>
      <c r="L251" s="41"/>
      <c r="M251" s="33"/>
      <c r="N251" s="33"/>
      <c r="O251" s="58"/>
      <c r="P251" s="185"/>
      <c r="Q251" s="185"/>
    </row>
    <row r="252" spans="1:17" hidden="1" outlineLevel="2">
      <c r="E252" s="20"/>
      <c r="F252" s="21"/>
      <c r="G252" s="22"/>
      <c r="H252" s="30" t="s">
        <v>2929</v>
      </c>
      <c r="I252" s="35"/>
      <c r="J252" s="25"/>
      <c r="K252" s="33">
        <v>1.29</v>
      </c>
      <c r="L252" s="41"/>
      <c r="M252" s="33">
        <v>1.8</v>
      </c>
      <c r="N252" s="33">
        <v>5</v>
      </c>
      <c r="O252" s="58">
        <f t="shared" si="7"/>
        <v>11.61</v>
      </c>
      <c r="P252" s="185"/>
      <c r="Q252" s="185"/>
    </row>
    <row r="253" spans="1:17" hidden="1" outlineLevel="2">
      <c r="E253" s="20"/>
      <c r="F253" s="21"/>
      <c r="G253" s="22"/>
      <c r="H253" s="30" t="s">
        <v>2932</v>
      </c>
      <c r="I253" s="35"/>
      <c r="J253" s="25"/>
      <c r="K253" s="33">
        <f>K252</f>
        <v>1.29</v>
      </c>
      <c r="L253" s="41"/>
      <c r="M253" s="33">
        <v>1.8</v>
      </c>
      <c r="N253" s="33">
        <v>5</v>
      </c>
      <c r="O253" s="58">
        <f t="shared" si="7"/>
        <v>11.61</v>
      </c>
      <c r="P253" s="185"/>
      <c r="Q253" s="185"/>
    </row>
    <row r="254" spans="1:17" hidden="1" outlineLevel="1" collapsed="1">
      <c r="A254" s="2">
        <v>5</v>
      </c>
      <c r="B254" s="2">
        <v>3</v>
      </c>
      <c r="C254" s="2" t="e">
        <f>C245+1</f>
        <v>#REF!</v>
      </c>
      <c r="E254" s="20" t="e">
        <f>CONCATENATE(A254,".",B254,".",C254)</f>
        <v>#REF!</v>
      </c>
      <c r="F254" s="21" t="s">
        <v>2934</v>
      </c>
      <c r="G254" s="113">
        <v>105022</v>
      </c>
      <c r="H254" s="114" t="s">
        <v>143</v>
      </c>
      <c r="I254" s="24" t="s">
        <v>144</v>
      </c>
      <c r="J254" s="25"/>
      <c r="K254" s="10"/>
      <c r="L254" s="32"/>
      <c r="M254" s="10"/>
      <c r="N254" s="33"/>
      <c r="O254" s="103">
        <f>SUM(O255:O263)</f>
        <v>134.99</v>
      </c>
      <c r="P254" s="185"/>
      <c r="Q254" s="185"/>
    </row>
    <row r="255" spans="1:17" hidden="1" outlineLevel="2">
      <c r="E255" s="20"/>
      <c r="F255" s="88"/>
      <c r="G255" s="89"/>
      <c r="H255" s="30" t="s">
        <v>2935</v>
      </c>
      <c r="I255" s="24"/>
      <c r="J255" s="25"/>
      <c r="K255" s="33">
        <f>0.8+0.8*0.6</f>
        <v>1.28</v>
      </c>
      <c r="L255" s="32"/>
      <c r="M255" s="33"/>
      <c r="N255" s="33">
        <v>24</v>
      </c>
      <c r="O255" s="104">
        <f t="shared" ref="O255:O263" si="8">ROUND(PRODUCT(J255:N255),2)</f>
        <v>30.72</v>
      </c>
      <c r="P255" s="185"/>
      <c r="Q255" s="185"/>
    </row>
    <row r="256" spans="1:17" hidden="1" outlineLevel="2">
      <c r="E256" s="20"/>
      <c r="F256" s="88"/>
      <c r="G256" s="89"/>
      <c r="H256" s="30" t="s">
        <v>2936</v>
      </c>
      <c r="I256" s="24"/>
      <c r="J256" s="25"/>
      <c r="K256" s="33">
        <f>0.9+0.9*0.6</f>
        <v>1.44</v>
      </c>
      <c r="L256" s="32"/>
      <c r="M256" s="33"/>
      <c r="N256" s="33">
        <v>17</v>
      </c>
      <c r="O256" s="104">
        <f t="shared" si="8"/>
        <v>24.48</v>
      </c>
      <c r="P256" s="185"/>
      <c r="Q256" s="185"/>
    </row>
    <row r="257" spans="1:17" hidden="1" outlineLevel="2">
      <c r="E257" s="20"/>
      <c r="F257" s="88"/>
      <c r="G257" s="89"/>
      <c r="H257" s="30" t="s">
        <v>2937</v>
      </c>
      <c r="I257" s="24"/>
      <c r="J257" s="25"/>
      <c r="K257" s="33">
        <f>0.9+0.9*0.6</f>
        <v>1.44</v>
      </c>
      <c r="L257" s="32"/>
      <c r="M257" s="33"/>
      <c r="N257" s="33">
        <v>1</v>
      </c>
      <c r="O257" s="104">
        <f>ROUND(PRODUCT(J257:N257),2)</f>
        <v>1.44</v>
      </c>
      <c r="P257" s="185"/>
      <c r="Q257" s="185"/>
    </row>
    <row r="258" spans="1:17" hidden="1" outlineLevel="2">
      <c r="E258" s="20"/>
      <c r="F258" s="88"/>
      <c r="G258" s="89"/>
      <c r="H258" s="30" t="s">
        <v>2938</v>
      </c>
      <c r="I258" s="24"/>
      <c r="J258" s="25"/>
      <c r="K258" s="33">
        <f>0.9+0.9*0.6</f>
        <v>1.44</v>
      </c>
      <c r="L258" s="32"/>
      <c r="M258" s="33"/>
      <c r="N258" s="33">
        <v>19</v>
      </c>
      <c r="O258" s="104">
        <f t="shared" si="8"/>
        <v>27.36</v>
      </c>
      <c r="P258" s="185"/>
      <c r="Q258" s="185"/>
    </row>
    <row r="259" spans="1:17" hidden="1" outlineLevel="2">
      <c r="E259" s="20"/>
      <c r="F259" s="88"/>
      <c r="G259" s="89"/>
      <c r="H259" s="30" t="s">
        <v>2939</v>
      </c>
      <c r="I259" s="24"/>
      <c r="J259" s="25"/>
      <c r="K259" s="33">
        <f>0.9+0.9*0.6</f>
        <v>1.44</v>
      </c>
      <c r="L259" s="32"/>
      <c r="M259" s="33"/>
      <c r="N259" s="33">
        <v>1</v>
      </c>
      <c r="O259" s="104">
        <f t="shared" si="8"/>
        <v>1.44</v>
      </c>
      <c r="P259" s="185"/>
      <c r="Q259" s="185"/>
    </row>
    <row r="260" spans="1:17" hidden="1" outlineLevel="2">
      <c r="E260" s="20"/>
      <c r="F260" s="88"/>
      <c r="G260" s="89"/>
      <c r="H260" s="30" t="s">
        <v>2940</v>
      </c>
      <c r="I260" s="24"/>
      <c r="J260" s="25"/>
      <c r="K260" s="33">
        <f>0.9+0.9*0.6</f>
        <v>1.44</v>
      </c>
      <c r="L260" s="32"/>
      <c r="M260" s="33"/>
      <c r="N260" s="33">
        <v>20</v>
      </c>
      <c r="O260" s="104">
        <f>ROUND(PRODUCT(J260:N260),2)</f>
        <v>28.8</v>
      </c>
      <c r="P260" s="185"/>
      <c r="Q260" s="185"/>
    </row>
    <row r="261" spans="1:17" hidden="1" outlineLevel="2">
      <c r="E261" s="20"/>
      <c r="F261" s="21"/>
      <c r="G261" s="22"/>
      <c r="H261" s="30" t="s">
        <v>2941</v>
      </c>
      <c r="I261" s="24"/>
      <c r="J261" s="25"/>
      <c r="K261" s="33">
        <f>0.66+0.5</f>
        <v>1.1600000000000001</v>
      </c>
      <c r="L261" s="32"/>
      <c r="M261" s="33"/>
      <c r="N261" s="33">
        <v>4</v>
      </c>
      <c r="O261" s="104">
        <f>ROUND(PRODUCT(J261:N261),2)</f>
        <v>4.6399999999999997</v>
      </c>
      <c r="P261" s="185"/>
      <c r="Q261" s="185"/>
    </row>
    <row r="262" spans="1:17" hidden="1" outlineLevel="2">
      <c r="E262" s="20"/>
      <c r="F262" s="21"/>
      <c r="G262" s="22"/>
      <c r="H262" s="30" t="s">
        <v>2942</v>
      </c>
      <c r="I262" s="24"/>
      <c r="J262" s="25"/>
      <c r="K262" s="33">
        <f>1.29+0.5</f>
        <v>1.79</v>
      </c>
      <c r="L262" s="32"/>
      <c r="M262" s="33"/>
      <c r="N262" s="33">
        <v>6</v>
      </c>
      <c r="O262" s="104">
        <f>ROUND(PRODUCT(J262:N262),2)</f>
        <v>10.74</v>
      </c>
      <c r="P262" s="185"/>
      <c r="Q262" s="185"/>
    </row>
    <row r="263" spans="1:17" hidden="1" outlineLevel="2">
      <c r="E263" s="20"/>
      <c r="F263" s="21"/>
      <c r="G263" s="22"/>
      <c r="H263" s="30" t="s">
        <v>2943</v>
      </c>
      <c r="I263" s="24"/>
      <c r="J263" s="25"/>
      <c r="K263" s="33">
        <f>1.29+0.5</f>
        <v>1.79</v>
      </c>
      <c r="L263" s="32"/>
      <c r="M263" s="33"/>
      <c r="N263" s="33">
        <v>3</v>
      </c>
      <c r="O263" s="104">
        <f t="shared" si="8"/>
        <v>5.37</v>
      </c>
      <c r="P263" s="185"/>
      <c r="Q263" s="185"/>
    </row>
    <row r="264" spans="1:17" ht="30" hidden="1" outlineLevel="1" collapsed="1">
      <c r="A264" s="2">
        <v>5</v>
      </c>
      <c r="B264" s="2">
        <v>3</v>
      </c>
      <c r="C264" s="2" t="e">
        <f>#REF!+1</f>
        <v>#REF!</v>
      </c>
      <c r="E264" s="20" t="e">
        <f>CONCATENATE(A264,".",B264,".",C264)</f>
        <v>#REF!</v>
      </c>
      <c r="F264" s="21" t="s">
        <v>2944</v>
      </c>
      <c r="G264" s="113">
        <v>105026</v>
      </c>
      <c r="H264" s="114" t="s">
        <v>147</v>
      </c>
      <c r="I264" s="115" t="s">
        <v>144</v>
      </c>
      <c r="J264" s="116"/>
      <c r="K264" s="117"/>
      <c r="L264" s="92"/>
      <c r="M264" s="91"/>
      <c r="N264" s="33"/>
      <c r="O264" s="103">
        <f>SUM(O265:O275)</f>
        <v>423.7</v>
      </c>
      <c r="P264" s="185"/>
      <c r="Q264" s="185"/>
    </row>
    <row r="265" spans="1:17" hidden="1" outlineLevel="2">
      <c r="E265" s="59"/>
      <c r="F265" s="94"/>
      <c r="G265" s="95"/>
      <c r="H265" s="118" t="s">
        <v>2945</v>
      </c>
      <c r="I265" s="119"/>
      <c r="J265" s="116"/>
      <c r="K265" s="82">
        <f>1.92+0.5</f>
        <v>2.42</v>
      </c>
      <c r="L265" s="96"/>
      <c r="M265" s="93"/>
      <c r="N265" s="33">
        <v>2</v>
      </c>
      <c r="O265" s="104">
        <f>ROUND(PRODUCT(J265:N265),2)</f>
        <v>4.84</v>
      </c>
      <c r="P265" s="185"/>
      <c r="Q265" s="185"/>
    </row>
    <row r="266" spans="1:17" hidden="1" outlineLevel="2">
      <c r="E266" s="59"/>
      <c r="F266" s="94"/>
      <c r="G266" s="95"/>
      <c r="H266" s="118" t="s">
        <v>2946</v>
      </c>
      <c r="I266" s="119"/>
      <c r="J266" s="116"/>
      <c r="K266" s="82">
        <f>1.92+0.5</f>
        <v>2.42</v>
      </c>
      <c r="L266" s="96"/>
      <c r="M266" s="93"/>
      <c r="N266" s="33">
        <v>2</v>
      </c>
      <c r="O266" s="104">
        <f>ROUND(PRODUCT(J266:N266),2)</f>
        <v>4.84</v>
      </c>
      <c r="P266" s="185"/>
      <c r="Q266" s="185"/>
    </row>
    <row r="267" spans="1:17" hidden="1" outlineLevel="2">
      <c r="E267" s="59"/>
      <c r="F267" s="94"/>
      <c r="G267" s="95"/>
      <c r="H267" s="118" t="s">
        <v>2947</v>
      </c>
      <c r="I267" s="119"/>
      <c r="J267" s="116"/>
      <c r="K267" s="82">
        <f>1.92+0.5</f>
        <v>2.42</v>
      </c>
      <c r="L267" s="96"/>
      <c r="M267" s="93"/>
      <c r="N267" s="33">
        <v>2</v>
      </c>
      <c r="O267" s="104">
        <f>ROUND(PRODUCT(J267:N267),2)</f>
        <v>4.84</v>
      </c>
      <c r="P267" s="185"/>
      <c r="Q267" s="185"/>
    </row>
    <row r="268" spans="1:17" hidden="1" outlineLevel="2">
      <c r="E268" s="59"/>
      <c r="F268" s="94"/>
      <c r="G268" s="95"/>
      <c r="H268" s="118" t="s">
        <v>2948</v>
      </c>
      <c r="I268" s="119"/>
      <c r="J268" s="116"/>
      <c r="K268" s="82">
        <f>3.15+0.5</f>
        <v>3.65</v>
      </c>
      <c r="L268" s="96"/>
      <c r="M268" s="93"/>
      <c r="N268" s="33">
        <v>1</v>
      </c>
      <c r="O268" s="104">
        <f>ROUND(PRODUCT(J268:N268),2)</f>
        <v>3.65</v>
      </c>
      <c r="P268" s="185"/>
      <c r="Q268" s="185"/>
    </row>
    <row r="269" spans="1:17" hidden="1" outlineLevel="2">
      <c r="E269" s="59"/>
      <c r="F269" s="94"/>
      <c r="G269" s="95"/>
      <c r="H269" s="118" t="s">
        <v>2949</v>
      </c>
      <c r="I269" s="119"/>
      <c r="J269" s="116"/>
      <c r="K269" s="82">
        <f>3.81+0.5</f>
        <v>4.3100000000000005</v>
      </c>
      <c r="L269" s="96"/>
      <c r="M269" s="93"/>
      <c r="N269" s="33">
        <v>2</v>
      </c>
      <c r="O269" s="104">
        <f>ROUND(PRODUCT(J269:N269),2)</f>
        <v>8.6199999999999992</v>
      </c>
      <c r="P269" s="185"/>
      <c r="Q269" s="185"/>
    </row>
    <row r="270" spans="1:17" hidden="1" outlineLevel="2">
      <c r="E270" s="59"/>
      <c r="F270" s="94"/>
      <c r="G270" s="95"/>
      <c r="H270" s="118" t="s">
        <v>2950</v>
      </c>
      <c r="I270" s="119"/>
      <c r="J270" s="116"/>
      <c r="K270" s="82">
        <f>3.81+0.5</f>
        <v>4.3100000000000005</v>
      </c>
      <c r="L270" s="96"/>
      <c r="M270" s="93"/>
      <c r="N270" s="33">
        <v>41</v>
      </c>
      <c r="O270" s="104">
        <f t="shared" ref="O270:O275" si="9">ROUND(PRODUCT(J270:N270),2)</f>
        <v>176.71</v>
      </c>
      <c r="P270" s="185"/>
      <c r="Q270" s="185"/>
    </row>
    <row r="271" spans="1:17" hidden="1" outlineLevel="2">
      <c r="E271" s="59"/>
      <c r="F271" s="94"/>
      <c r="G271" s="95"/>
      <c r="H271" s="118" t="s">
        <v>2951</v>
      </c>
      <c r="I271" s="119"/>
      <c r="J271" s="116"/>
      <c r="K271" s="82">
        <f>3.81+0.5</f>
        <v>4.3100000000000005</v>
      </c>
      <c r="L271" s="96"/>
      <c r="M271" s="93"/>
      <c r="N271" s="33">
        <v>40</v>
      </c>
      <c r="O271" s="104">
        <f t="shared" si="9"/>
        <v>172.4</v>
      </c>
      <c r="P271" s="185"/>
      <c r="Q271" s="185"/>
    </row>
    <row r="272" spans="1:17" hidden="1" outlineLevel="2">
      <c r="E272" s="59"/>
      <c r="F272" s="94"/>
      <c r="G272" s="95"/>
      <c r="H272" s="118" t="s">
        <v>2952</v>
      </c>
      <c r="I272" s="119"/>
      <c r="J272" s="116"/>
      <c r="K272" s="82">
        <f>4.44+0.5</f>
        <v>4.9400000000000004</v>
      </c>
      <c r="L272" s="96"/>
      <c r="M272" s="93"/>
      <c r="N272" s="33">
        <v>4</v>
      </c>
      <c r="O272" s="104">
        <f t="shared" si="9"/>
        <v>19.760000000000002</v>
      </c>
      <c r="P272" s="185"/>
      <c r="Q272" s="185"/>
    </row>
    <row r="273" spans="1:17" hidden="1" outlineLevel="2">
      <c r="E273" s="59"/>
      <c r="F273" s="94"/>
      <c r="G273" s="95"/>
      <c r="H273" s="118" t="s">
        <v>2953</v>
      </c>
      <c r="I273" s="119"/>
      <c r="J273" s="116"/>
      <c r="K273" s="82">
        <f>5.64+0.5</f>
        <v>6.14</v>
      </c>
      <c r="L273" s="96"/>
      <c r="M273" s="93"/>
      <c r="N273" s="33">
        <v>1</v>
      </c>
      <c r="O273" s="104">
        <f>ROUND(PRODUCT(J273:N273),2)</f>
        <v>6.14</v>
      </c>
      <c r="P273" s="185"/>
      <c r="Q273" s="185"/>
    </row>
    <row r="274" spans="1:17" hidden="1" outlineLevel="2">
      <c r="E274" s="59"/>
      <c r="F274" s="94"/>
      <c r="G274" s="95"/>
      <c r="H274" s="118" t="s">
        <v>2954</v>
      </c>
      <c r="I274" s="119"/>
      <c r="J274" s="116"/>
      <c r="K274" s="82">
        <f>3.15+0.5</f>
        <v>3.65</v>
      </c>
      <c r="L274" s="96"/>
      <c r="M274" s="93"/>
      <c r="N274" s="33">
        <v>4</v>
      </c>
      <c r="O274" s="104">
        <f>ROUND(PRODUCT(J274:N274),2)</f>
        <v>14.6</v>
      </c>
      <c r="P274" s="185"/>
      <c r="Q274" s="185"/>
    </row>
    <row r="275" spans="1:17" hidden="1" outlineLevel="2">
      <c r="E275" s="59"/>
      <c r="F275" s="94"/>
      <c r="G275" s="95"/>
      <c r="H275" s="118" t="s">
        <v>2955</v>
      </c>
      <c r="I275" s="119"/>
      <c r="J275" s="116"/>
      <c r="K275" s="82">
        <f>3.15+0.5</f>
        <v>3.65</v>
      </c>
      <c r="L275" s="96"/>
      <c r="M275" s="93"/>
      <c r="N275" s="33">
        <v>2</v>
      </c>
      <c r="O275" s="104">
        <f t="shared" si="9"/>
        <v>7.3</v>
      </c>
      <c r="P275" s="185"/>
      <c r="Q275" s="185"/>
    </row>
    <row r="276" spans="1:17" hidden="1" outlineLevel="1" collapsed="1">
      <c r="A276" s="2">
        <v>5</v>
      </c>
      <c r="B276" s="2">
        <v>3</v>
      </c>
      <c r="C276" s="2" t="e">
        <f>C264+1</f>
        <v>#REF!</v>
      </c>
      <c r="E276" s="20" t="e">
        <f>CONCATENATE(A276,".",B276,".",C276)</f>
        <v>#REF!</v>
      </c>
      <c r="F276" s="120" t="s">
        <v>2956</v>
      </c>
      <c r="G276" s="113">
        <v>105028</v>
      </c>
      <c r="H276" s="114" t="s">
        <v>150</v>
      </c>
      <c r="I276" s="115" t="s">
        <v>144</v>
      </c>
      <c r="J276" s="116"/>
      <c r="K276" s="117"/>
      <c r="L276" s="121"/>
      <c r="M276" s="117"/>
      <c r="N276" s="82"/>
      <c r="O276" s="122">
        <f>SUM(O277:O279)</f>
        <v>20.75</v>
      </c>
      <c r="P276" s="185"/>
      <c r="Q276" s="185"/>
    </row>
    <row r="277" spans="1:17" hidden="1" outlineLevel="2">
      <c r="E277" s="20"/>
      <c r="F277" s="120"/>
      <c r="G277" s="113"/>
      <c r="H277" s="118" t="s">
        <v>2941</v>
      </c>
      <c r="I277" s="115"/>
      <c r="J277" s="116"/>
      <c r="K277" s="82">
        <f>0.66+0.5</f>
        <v>1.1600000000000001</v>
      </c>
      <c r="L277" s="121"/>
      <c r="M277" s="82"/>
      <c r="N277" s="82">
        <v>4</v>
      </c>
      <c r="O277" s="123">
        <f>ROUND(PRODUCT(J277:N277),2)</f>
        <v>4.6399999999999997</v>
      </c>
      <c r="P277" s="185"/>
      <c r="Q277" s="185"/>
    </row>
    <row r="278" spans="1:17" hidden="1" outlineLevel="2">
      <c r="E278" s="20"/>
      <c r="F278" s="120"/>
      <c r="G278" s="113"/>
      <c r="H278" s="118" t="s">
        <v>2942</v>
      </c>
      <c r="I278" s="115"/>
      <c r="J278" s="116"/>
      <c r="K278" s="82">
        <f>1.29+0.5</f>
        <v>1.79</v>
      </c>
      <c r="L278" s="121"/>
      <c r="M278" s="82"/>
      <c r="N278" s="82">
        <v>6</v>
      </c>
      <c r="O278" s="123">
        <f>ROUND(PRODUCT(J278:N278),2)</f>
        <v>10.74</v>
      </c>
      <c r="P278" s="185"/>
      <c r="Q278" s="185"/>
    </row>
    <row r="279" spans="1:17" hidden="1" outlineLevel="2">
      <c r="E279" s="20"/>
      <c r="F279" s="120"/>
      <c r="G279" s="113"/>
      <c r="H279" s="118" t="s">
        <v>2943</v>
      </c>
      <c r="I279" s="115"/>
      <c r="J279" s="116"/>
      <c r="K279" s="82">
        <f>1.29+0.5</f>
        <v>1.79</v>
      </c>
      <c r="L279" s="121"/>
      <c r="M279" s="82"/>
      <c r="N279" s="82">
        <v>3</v>
      </c>
      <c r="O279" s="123">
        <f>ROUND(PRODUCT(J279:N279),2)</f>
        <v>5.37</v>
      </c>
      <c r="P279" s="185"/>
      <c r="Q279" s="185"/>
    </row>
    <row r="280" spans="1:17" hidden="1" outlineLevel="1" collapsed="1">
      <c r="A280" s="2">
        <v>5</v>
      </c>
      <c r="B280" s="2">
        <v>3</v>
      </c>
      <c r="C280" s="2" t="e">
        <f>C276+1</f>
        <v>#REF!</v>
      </c>
      <c r="E280" s="20" t="e">
        <f>CONCATENATE(A280,".",B280,".",C280)</f>
        <v>#REF!</v>
      </c>
      <c r="F280" s="120" t="s">
        <v>2957</v>
      </c>
      <c r="G280" s="113">
        <v>105027</v>
      </c>
      <c r="H280" s="114" t="s">
        <v>153</v>
      </c>
      <c r="I280" s="115" t="s">
        <v>144</v>
      </c>
      <c r="J280" s="116"/>
      <c r="K280" s="117"/>
      <c r="L280" s="121"/>
      <c r="M280" s="117"/>
      <c r="N280" s="82"/>
      <c r="O280" s="122">
        <f>SUM(O281:O291)</f>
        <v>423.7</v>
      </c>
      <c r="P280" s="185"/>
      <c r="Q280" s="185"/>
    </row>
    <row r="281" spans="1:17" hidden="1" outlineLevel="2">
      <c r="E281" s="59"/>
      <c r="F281" s="124"/>
      <c r="G281" s="125"/>
      <c r="H281" s="118" t="s">
        <v>2945</v>
      </c>
      <c r="I281" s="119"/>
      <c r="J281" s="116"/>
      <c r="K281" s="82">
        <f>1.92+0.5</f>
        <v>2.42</v>
      </c>
      <c r="L281" s="126"/>
      <c r="M281" s="82"/>
      <c r="N281" s="82">
        <v>2</v>
      </c>
      <c r="O281" s="123">
        <f t="shared" ref="O281:O291" si="10">ROUND(PRODUCT(J281:N281),2)</f>
        <v>4.84</v>
      </c>
      <c r="P281" s="185"/>
      <c r="Q281" s="185"/>
    </row>
    <row r="282" spans="1:17" hidden="1" outlineLevel="2">
      <c r="E282" s="59"/>
      <c r="F282" s="94"/>
      <c r="G282" s="95"/>
      <c r="H282" s="118" t="s">
        <v>2946</v>
      </c>
      <c r="I282" s="119"/>
      <c r="J282" s="116"/>
      <c r="K282" s="82">
        <f>1.92+0.5</f>
        <v>2.42</v>
      </c>
      <c r="L282" s="96"/>
      <c r="M282" s="93"/>
      <c r="N282" s="33">
        <v>2</v>
      </c>
      <c r="O282" s="104">
        <f t="shared" si="10"/>
        <v>4.84</v>
      </c>
      <c r="P282" s="185"/>
      <c r="Q282" s="185"/>
    </row>
    <row r="283" spans="1:17" hidden="1" outlineLevel="2">
      <c r="E283" s="59"/>
      <c r="F283" s="94"/>
      <c r="G283" s="95"/>
      <c r="H283" s="118" t="s">
        <v>2947</v>
      </c>
      <c r="I283" s="119"/>
      <c r="J283" s="116"/>
      <c r="K283" s="82">
        <f>1.92+0.5</f>
        <v>2.42</v>
      </c>
      <c r="L283" s="96"/>
      <c r="M283" s="93"/>
      <c r="N283" s="33">
        <v>2</v>
      </c>
      <c r="O283" s="104">
        <f t="shared" si="10"/>
        <v>4.84</v>
      </c>
      <c r="P283" s="185"/>
      <c r="Q283" s="185"/>
    </row>
    <row r="284" spans="1:17" hidden="1" outlineLevel="2">
      <c r="E284" s="59"/>
      <c r="F284" s="94"/>
      <c r="G284" s="95"/>
      <c r="H284" s="118" t="s">
        <v>2948</v>
      </c>
      <c r="I284" s="119"/>
      <c r="J284" s="116"/>
      <c r="K284" s="82">
        <f>3.15+0.5</f>
        <v>3.65</v>
      </c>
      <c r="L284" s="96"/>
      <c r="M284" s="93"/>
      <c r="N284" s="33">
        <v>1</v>
      </c>
      <c r="O284" s="104">
        <f t="shared" si="10"/>
        <v>3.65</v>
      </c>
      <c r="P284" s="185"/>
      <c r="Q284" s="185"/>
    </row>
    <row r="285" spans="1:17" hidden="1" outlineLevel="2">
      <c r="E285" s="59"/>
      <c r="F285" s="94"/>
      <c r="G285" s="95"/>
      <c r="H285" s="118" t="s">
        <v>2949</v>
      </c>
      <c r="I285" s="119"/>
      <c r="J285" s="116"/>
      <c r="K285" s="82">
        <f>3.81+0.5</f>
        <v>4.3100000000000005</v>
      </c>
      <c r="L285" s="96"/>
      <c r="M285" s="93"/>
      <c r="N285" s="33">
        <v>2</v>
      </c>
      <c r="O285" s="104">
        <f t="shared" si="10"/>
        <v>8.6199999999999992</v>
      </c>
      <c r="P285" s="185"/>
      <c r="Q285" s="185"/>
    </row>
    <row r="286" spans="1:17" hidden="1" outlineLevel="2">
      <c r="E286" s="59"/>
      <c r="F286" s="94"/>
      <c r="G286" s="95"/>
      <c r="H286" s="118" t="s">
        <v>2950</v>
      </c>
      <c r="I286" s="119"/>
      <c r="J286" s="116"/>
      <c r="K286" s="82">
        <f>3.81+0.5</f>
        <v>4.3100000000000005</v>
      </c>
      <c r="L286" s="96"/>
      <c r="M286" s="93"/>
      <c r="N286" s="33">
        <v>41</v>
      </c>
      <c r="O286" s="104">
        <f t="shared" si="10"/>
        <v>176.71</v>
      </c>
      <c r="P286" s="185"/>
      <c r="Q286" s="185"/>
    </row>
    <row r="287" spans="1:17" hidden="1" outlineLevel="2">
      <c r="E287" s="59"/>
      <c r="F287" s="94"/>
      <c r="G287" s="95"/>
      <c r="H287" s="118" t="s">
        <v>2951</v>
      </c>
      <c r="I287" s="119"/>
      <c r="J287" s="116"/>
      <c r="K287" s="82">
        <f>3.81+0.5</f>
        <v>4.3100000000000005</v>
      </c>
      <c r="L287" s="96"/>
      <c r="M287" s="93"/>
      <c r="N287" s="33">
        <v>40</v>
      </c>
      <c r="O287" s="104">
        <f t="shared" si="10"/>
        <v>172.4</v>
      </c>
      <c r="P287" s="185"/>
      <c r="Q287" s="185"/>
    </row>
    <row r="288" spans="1:17" hidden="1" outlineLevel="2">
      <c r="E288" s="59"/>
      <c r="F288" s="94"/>
      <c r="G288" s="95"/>
      <c r="H288" s="118" t="s">
        <v>2952</v>
      </c>
      <c r="I288" s="119"/>
      <c r="J288" s="116"/>
      <c r="K288" s="82">
        <f>4.44+0.5</f>
        <v>4.9400000000000004</v>
      </c>
      <c r="L288" s="96"/>
      <c r="M288" s="93"/>
      <c r="N288" s="33">
        <v>4</v>
      </c>
      <c r="O288" s="104">
        <f t="shared" si="10"/>
        <v>19.760000000000002</v>
      </c>
      <c r="P288" s="185"/>
      <c r="Q288" s="185"/>
    </row>
    <row r="289" spans="1:17" hidden="1" outlineLevel="2">
      <c r="E289" s="59"/>
      <c r="F289" s="94"/>
      <c r="G289" s="95"/>
      <c r="H289" s="118" t="s">
        <v>2953</v>
      </c>
      <c r="I289" s="119"/>
      <c r="J289" s="116"/>
      <c r="K289" s="82">
        <f>5.64+0.5</f>
        <v>6.14</v>
      </c>
      <c r="L289" s="96"/>
      <c r="M289" s="93"/>
      <c r="N289" s="33">
        <v>1</v>
      </c>
      <c r="O289" s="104">
        <f t="shared" si="10"/>
        <v>6.14</v>
      </c>
      <c r="P289" s="185"/>
      <c r="Q289" s="185"/>
    </row>
    <row r="290" spans="1:17" hidden="1" outlineLevel="2">
      <c r="E290" s="59"/>
      <c r="F290" s="94"/>
      <c r="G290" s="95"/>
      <c r="H290" s="118" t="s">
        <v>2954</v>
      </c>
      <c r="I290" s="119"/>
      <c r="J290" s="116"/>
      <c r="K290" s="82">
        <f>3.15+0.5</f>
        <v>3.65</v>
      </c>
      <c r="L290" s="96"/>
      <c r="M290" s="93"/>
      <c r="N290" s="33">
        <v>4</v>
      </c>
      <c r="O290" s="104">
        <f t="shared" si="10"/>
        <v>14.6</v>
      </c>
      <c r="P290" s="185"/>
      <c r="Q290" s="185"/>
    </row>
    <row r="291" spans="1:17" hidden="1" outlineLevel="2">
      <c r="E291" s="59"/>
      <c r="F291" s="94"/>
      <c r="G291" s="95"/>
      <c r="H291" s="118" t="s">
        <v>2955</v>
      </c>
      <c r="I291" s="119"/>
      <c r="J291" s="116"/>
      <c r="K291" s="82">
        <f>3.15+0.5</f>
        <v>3.65</v>
      </c>
      <c r="L291" s="96"/>
      <c r="M291" s="93"/>
      <c r="N291" s="33">
        <v>2</v>
      </c>
      <c r="O291" s="104">
        <f t="shared" si="10"/>
        <v>7.3</v>
      </c>
      <c r="P291" s="185"/>
      <c r="Q291" s="185"/>
    </row>
    <row r="292" spans="1:17" collapsed="1">
      <c r="E292" s="52" t="s">
        <v>2958</v>
      </c>
      <c r="F292" s="53" t="s">
        <v>2958</v>
      </c>
      <c r="G292" s="13"/>
      <c r="H292" s="14" t="s">
        <v>158</v>
      </c>
      <c r="I292" s="15"/>
      <c r="J292" s="16"/>
      <c r="K292" s="17"/>
      <c r="L292" s="16"/>
      <c r="M292" s="17"/>
      <c r="N292" s="18"/>
      <c r="O292" s="19"/>
      <c r="P292" s="185"/>
      <c r="Q292" s="185"/>
    </row>
    <row r="293" spans="1:17" ht="30" hidden="1" outlineLevel="1">
      <c r="A293" s="2">
        <v>5</v>
      </c>
      <c r="B293" s="2">
        <v>4</v>
      </c>
      <c r="C293" s="2">
        <f>1</f>
        <v>1</v>
      </c>
      <c r="E293" s="20" t="str">
        <f>CONCATENATE(A293,".",B293,".",C293)</f>
        <v>5.4.1</v>
      </c>
      <c r="F293" s="120" t="s">
        <v>2959</v>
      </c>
      <c r="G293" s="113">
        <v>94228</v>
      </c>
      <c r="H293" s="114" t="s">
        <v>161</v>
      </c>
      <c r="I293" s="115" t="s">
        <v>144</v>
      </c>
      <c r="J293" s="121"/>
      <c r="K293" s="117"/>
      <c r="L293" s="121"/>
      <c r="M293" s="117"/>
      <c r="N293" s="82"/>
      <c r="O293" s="122">
        <f>SUM(O294)</f>
        <v>104.42</v>
      </c>
      <c r="P293" s="185"/>
      <c r="Q293" s="185"/>
    </row>
    <row r="294" spans="1:17" hidden="1" outlineLevel="2">
      <c r="E294" s="59"/>
      <c r="F294" s="124"/>
      <c r="G294" s="125"/>
      <c r="H294" s="118"/>
      <c r="I294" s="119"/>
      <c r="J294" s="121"/>
      <c r="K294" s="82">
        <v>52.21</v>
      </c>
      <c r="L294" s="121"/>
      <c r="M294" s="117"/>
      <c r="N294" s="82">
        <v>2</v>
      </c>
      <c r="O294" s="123">
        <f>ROUND(PRODUCT(J294:N294),2)</f>
        <v>104.42</v>
      </c>
      <c r="P294" s="185"/>
      <c r="Q294" s="185"/>
    </row>
    <row r="295" spans="1:17" ht="30" hidden="1" outlineLevel="2">
      <c r="E295" s="59"/>
      <c r="F295" s="120" t="s">
        <v>2960</v>
      </c>
      <c r="G295" s="113">
        <v>94227</v>
      </c>
      <c r="H295" s="114" t="s">
        <v>164</v>
      </c>
      <c r="I295" s="115" t="s">
        <v>144</v>
      </c>
      <c r="J295" s="121"/>
      <c r="K295" s="117"/>
      <c r="L295" s="121"/>
      <c r="M295" s="117"/>
      <c r="N295" s="82"/>
      <c r="O295" s="122">
        <f>SUM(O296)</f>
        <v>22.55</v>
      </c>
      <c r="P295" s="185"/>
      <c r="Q295" s="185"/>
    </row>
    <row r="296" spans="1:17" hidden="1" outlineLevel="2">
      <c r="E296" s="59"/>
      <c r="F296" s="124"/>
      <c r="G296" s="125"/>
      <c r="H296" s="118"/>
      <c r="I296" s="119"/>
      <c r="J296" s="121"/>
      <c r="K296" s="82">
        <f>7.59+14.96</f>
        <v>22.55</v>
      </c>
      <c r="L296" s="121"/>
      <c r="M296" s="117"/>
      <c r="N296" s="82">
        <v>1</v>
      </c>
      <c r="O296" s="123">
        <f>ROUND(PRODUCT(J296:N296),2)</f>
        <v>22.55</v>
      </c>
      <c r="P296" s="185"/>
      <c r="Q296" s="185"/>
    </row>
    <row r="297" spans="1:17" ht="30" hidden="1" outlineLevel="2">
      <c r="E297" s="59"/>
      <c r="F297" s="120" t="s">
        <v>2961</v>
      </c>
      <c r="G297" s="113">
        <v>94229</v>
      </c>
      <c r="H297" s="114" t="s">
        <v>167</v>
      </c>
      <c r="I297" s="115" t="s">
        <v>144</v>
      </c>
      <c r="J297" s="121"/>
      <c r="K297" s="117"/>
      <c r="L297" s="121"/>
      <c r="M297" s="117"/>
      <c r="N297" s="82"/>
      <c r="O297" s="122">
        <f>SUM(O298)</f>
        <v>95.64</v>
      </c>
      <c r="P297" s="185"/>
      <c r="Q297" s="185"/>
    </row>
    <row r="298" spans="1:17" hidden="1" outlineLevel="2">
      <c r="E298" s="59"/>
      <c r="F298" s="124"/>
      <c r="G298" s="125"/>
      <c r="H298" s="118"/>
      <c r="I298" s="119"/>
      <c r="J298" s="121"/>
      <c r="K298" s="82">
        <f>24.28+37.24+4.16+29.96</f>
        <v>95.640000000000015</v>
      </c>
      <c r="L298" s="121"/>
      <c r="M298" s="117"/>
      <c r="N298" s="82">
        <v>1</v>
      </c>
      <c r="O298" s="123">
        <f>ROUND(PRODUCT(J298:N298),2)</f>
        <v>95.64</v>
      </c>
      <c r="P298" s="185"/>
      <c r="Q298" s="185"/>
    </row>
    <row r="299" spans="1:17" ht="30" hidden="1" outlineLevel="1">
      <c r="A299" s="2">
        <v>5</v>
      </c>
      <c r="B299" s="2">
        <v>4</v>
      </c>
      <c r="C299" s="2">
        <f>C293+1</f>
        <v>2</v>
      </c>
      <c r="E299" s="20" t="str">
        <f>CONCATENATE(A299,".",B299,".",C299)</f>
        <v>5.4.2</v>
      </c>
      <c r="F299" s="120" t="s">
        <v>2962</v>
      </c>
      <c r="G299" s="113" t="s">
        <v>169</v>
      </c>
      <c r="H299" s="114" t="s">
        <v>170</v>
      </c>
      <c r="I299" s="115" t="s">
        <v>144</v>
      </c>
      <c r="J299" s="121"/>
      <c r="K299" s="117"/>
      <c r="L299" s="121"/>
      <c r="M299" s="117"/>
      <c r="N299" s="82"/>
      <c r="O299" s="122">
        <f>SUM(O300:O305)</f>
        <v>319.39</v>
      </c>
      <c r="P299" s="185"/>
      <c r="Q299" s="185"/>
    </row>
    <row r="300" spans="1:17" hidden="1" outlineLevel="2">
      <c r="E300" s="59"/>
      <c r="F300" s="60"/>
      <c r="G300" s="34"/>
      <c r="H300" s="30"/>
      <c r="I300" s="35"/>
      <c r="J300" s="32"/>
      <c r="K300" s="33">
        <v>13.77</v>
      </c>
      <c r="L300" s="32"/>
      <c r="M300" s="10"/>
      <c r="N300" s="33">
        <v>2</v>
      </c>
      <c r="O300" s="58">
        <f t="shared" ref="O300:O305" si="11">ROUND(PRODUCT(J300:N300),2)</f>
        <v>27.54</v>
      </c>
      <c r="P300" s="185"/>
      <c r="Q300" s="185"/>
    </row>
    <row r="301" spans="1:17" hidden="1" outlineLevel="2">
      <c r="E301" s="59"/>
      <c r="F301" s="60"/>
      <c r="G301" s="34"/>
      <c r="H301" s="30"/>
      <c r="I301" s="35"/>
      <c r="J301" s="32"/>
      <c r="K301" s="82">
        <v>24.28</v>
      </c>
      <c r="L301" s="32"/>
      <c r="M301" s="10"/>
      <c r="N301" s="33">
        <v>2</v>
      </c>
      <c r="O301" s="58">
        <f t="shared" si="11"/>
        <v>48.56</v>
      </c>
      <c r="P301" s="185"/>
      <c r="Q301" s="185"/>
    </row>
    <row r="302" spans="1:17" hidden="1" outlineLevel="2">
      <c r="E302" s="59"/>
      <c r="F302" s="60"/>
      <c r="G302" s="34"/>
      <c r="H302" s="30"/>
      <c r="I302" s="35"/>
      <c r="J302" s="32"/>
      <c r="K302" s="82">
        <v>16.829999999999998</v>
      </c>
      <c r="L302" s="32"/>
      <c r="M302" s="10"/>
      <c r="N302" s="33">
        <v>2</v>
      </c>
      <c r="O302" s="58">
        <f t="shared" si="11"/>
        <v>33.659999999999997</v>
      </c>
      <c r="P302" s="185"/>
      <c r="Q302" s="185"/>
    </row>
    <row r="303" spans="1:17" hidden="1" outlineLevel="2">
      <c r="E303" s="59"/>
      <c r="F303" s="60"/>
      <c r="G303" s="34"/>
      <c r="H303" s="30"/>
      <c r="I303" s="35"/>
      <c r="J303" s="32"/>
      <c r="K303" s="2">
        <v>37.229999999999997</v>
      </c>
      <c r="L303" s="32"/>
      <c r="M303" s="10"/>
      <c r="N303" s="33">
        <v>2</v>
      </c>
      <c r="O303" s="58">
        <f t="shared" si="11"/>
        <v>74.459999999999994</v>
      </c>
      <c r="P303" s="185"/>
      <c r="Q303" s="185"/>
    </row>
    <row r="304" spans="1:17" hidden="1" outlineLevel="2">
      <c r="E304" s="59"/>
      <c r="F304" s="60"/>
      <c r="G304" s="34"/>
      <c r="H304" s="30"/>
      <c r="I304" s="35"/>
      <c r="J304" s="32"/>
      <c r="K304" s="82">
        <v>52.21</v>
      </c>
      <c r="L304" s="32"/>
      <c r="M304" s="10"/>
      <c r="N304" s="33">
        <v>2</v>
      </c>
      <c r="O304" s="58">
        <f t="shared" si="11"/>
        <v>104.42</v>
      </c>
      <c r="P304" s="185"/>
      <c r="Q304" s="185"/>
    </row>
    <row r="305" spans="1:17" hidden="1" outlineLevel="2">
      <c r="E305" s="59"/>
      <c r="F305" s="60"/>
      <c r="G305" s="34"/>
      <c r="H305" s="30"/>
      <c r="I305" s="35"/>
      <c r="J305" s="32"/>
      <c r="K305" s="33">
        <v>30.75</v>
      </c>
      <c r="L305" s="32"/>
      <c r="M305" s="10"/>
      <c r="N305" s="33"/>
      <c r="O305" s="58">
        <f t="shared" si="11"/>
        <v>30.75</v>
      </c>
      <c r="P305" s="185"/>
      <c r="Q305" s="185"/>
    </row>
    <row r="306" spans="1:17" hidden="1" outlineLevel="1">
      <c r="A306" s="2">
        <v>5</v>
      </c>
      <c r="B306" s="2">
        <v>4</v>
      </c>
      <c r="C306" s="2">
        <f>C299+1</f>
        <v>3</v>
      </c>
      <c r="E306" s="20" t="str">
        <f>CONCATENATE(A306,".",B306,".",C306)</f>
        <v>5.4.3</v>
      </c>
      <c r="F306" s="120" t="s">
        <v>2963</v>
      </c>
      <c r="G306" s="113">
        <v>2236</v>
      </c>
      <c r="H306" s="114" t="s">
        <v>173</v>
      </c>
      <c r="I306" s="115" t="s">
        <v>144</v>
      </c>
      <c r="J306" s="121"/>
      <c r="K306" s="117"/>
      <c r="L306" s="121"/>
      <c r="M306" s="117"/>
      <c r="N306" s="82"/>
      <c r="O306" s="122">
        <f>SUM(O307)</f>
        <v>34.25</v>
      </c>
      <c r="P306" s="185"/>
      <c r="Q306" s="185"/>
    </row>
    <row r="307" spans="1:17" hidden="1" outlineLevel="2">
      <c r="E307" s="59"/>
      <c r="F307" s="60"/>
      <c r="G307" s="34"/>
      <c r="H307" s="30"/>
      <c r="I307" s="35"/>
      <c r="J307" s="32"/>
      <c r="K307" s="33">
        <v>34.25</v>
      </c>
      <c r="L307" s="32"/>
      <c r="M307" s="10"/>
      <c r="N307" s="33">
        <v>1</v>
      </c>
      <c r="O307" s="58">
        <f>ROUND(PRODUCT(J307:N307),2)</f>
        <v>34.25</v>
      </c>
      <c r="P307" s="185"/>
      <c r="Q307" s="185"/>
    </row>
    <row r="308" spans="1:17" ht="45" hidden="1" outlineLevel="1">
      <c r="A308" s="2">
        <v>5</v>
      </c>
      <c r="B308" s="2">
        <v>4</v>
      </c>
      <c r="C308" s="2">
        <f>C306+1</f>
        <v>4</v>
      </c>
      <c r="E308" s="20" t="str">
        <f>CONCATENATE(A308,".",B308,".",C308)</f>
        <v>5.4.4</v>
      </c>
      <c r="F308" s="120" t="s">
        <v>2964</v>
      </c>
      <c r="G308" s="113">
        <v>2240</v>
      </c>
      <c r="H308" s="114" t="s">
        <v>176</v>
      </c>
      <c r="I308" s="115" t="s">
        <v>45</v>
      </c>
      <c r="J308" s="121"/>
      <c r="K308" s="117"/>
      <c r="L308" s="121"/>
      <c r="M308" s="117"/>
      <c r="N308" s="82"/>
      <c r="O308" s="122">
        <f>SUM(O309:O311)</f>
        <v>1257.2600000000002</v>
      </c>
      <c r="P308" s="185"/>
      <c r="Q308" s="185"/>
    </row>
    <row r="309" spans="1:17" hidden="1" outlineLevel="2">
      <c r="E309" s="59"/>
      <c r="F309" s="60"/>
      <c r="G309" s="34"/>
      <c r="H309" s="30"/>
      <c r="I309" s="35"/>
      <c r="J309" s="32"/>
      <c r="K309" s="33">
        <v>246.43</v>
      </c>
      <c r="L309" s="32"/>
      <c r="M309" s="10"/>
      <c r="N309" s="33">
        <v>1</v>
      </c>
      <c r="O309" s="58">
        <f>ROUND(PRODUCT(J309:N309),2)</f>
        <v>246.43</v>
      </c>
      <c r="P309" s="185"/>
      <c r="Q309" s="185"/>
    </row>
    <row r="310" spans="1:17" hidden="1" outlineLevel="2">
      <c r="E310" s="59"/>
      <c r="F310" s="60"/>
      <c r="G310" s="34"/>
      <c r="H310" s="30"/>
      <c r="I310" s="35"/>
      <c r="J310" s="32"/>
      <c r="K310" s="33">
        <v>429.73</v>
      </c>
      <c r="L310" s="32"/>
      <c r="M310" s="10"/>
      <c r="N310" s="33">
        <v>2</v>
      </c>
      <c r="O310" s="58">
        <f>ROUND(PRODUCT(J310:N310),2)</f>
        <v>859.46</v>
      </c>
      <c r="P310" s="185"/>
      <c r="Q310" s="185"/>
    </row>
    <row r="311" spans="1:17" hidden="1" outlineLevel="2">
      <c r="E311" s="59"/>
      <c r="F311" s="60"/>
      <c r="G311" s="34"/>
      <c r="H311" s="30"/>
      <c r="I311" s="35"/>
      <c r="J311" s="32"/>
      <c r="K311" s="33">
        <f>24.7+17.16+109.51</f>
        <v>151.37</v>
      </c>
      <c r="L311" s="32"/>
      <c r="M311" s="10"/>
      <c r="N311" s="33">
        <v>1</v>
      </c>
      <c r="O311" s="58">
        <f>ROUND(PRODUCT(J311:N311),2)</f>
        <v>151.37</v>
      </c>
      <c r="P311" s="185"/>
      <c r="Q311" s="185"/>
    </row>
    <row r="312" spans="1:17" ht="40.15" hidden="1" customHeight="1" outlineLevel="2">
      <c r="E312" s="59"/>
      <c r="F312" s="120" t="s">
        <v>2965</v>
      </c>
      <c r="G312" s="113">
        <v>92580</v>
      </c>
      <c r="H312" s="114" t="s">
        <v>179</v>
      </c>
      <c r="I312" s="115" t="s">
        <v>45</v>
      </c>
      <c r="J312" s="121"/>
      <c r="K312" s="117"/>
      <c r="L312" s="121"/>
      <c r="M312" s="117"/>
      <c r="N312" s="82"/>
      <c r="O312" s="122">
        <f>SUM(O313:O313)</f>
        <v>474.01</v>
      </c>
      <c r="P312" s="185"/>
      <c r="Q312" s="185"/>
    </row>
    <row r="313" spans="1:17" hidden="1" outlineLevel="2">
      <c r="E313" s="59"/>
      <c r="F313" s="60"/>
      <c r="G313" s="34"/>
      <c r="H313" s="30"/>
      <c r="I313" s="35"/>
      <c r="J313" s="32"/>
      <c r="K313" s="33">
        <v>474.01</v>
      </c>
      <c r="L313" s="32"/>
      <c r="M313" s="10"/>
      <c r="N313" s="33"/>
      <c r="O313" s="58">
        <f>ROUND(PRODUCT(J313:N313),2)</f>
        <v>474.01</v>
      </c>
      <c r="P313" s="185"/>
      <c r="Q313" s="185"/>
    </row>
    <row r="314" spans="1:17" ht="45" hidden="1" outlineLevel="1">
      <c r="A314" s="2">
        <v>5</v>
      </c>
      <c r="B314" s="2">
        <v>4</v>
      </c>
      <c r="C314" s="2">
        <f>C308+1</f>
        <v>5</v>
      </c>
      <c r="E314" s="20" t="str">
        <f>CONCATENATE(A314,".",B314,".",C314)</f>
        <v>5.4.5</v>
      </c>
      <c r="F314" s="21" t="s">
        <v>2966</v>
      </c>
      <c r="G314" s="113">
        <v>94210</v>
      </c>
      <c r="H314" s="114" t="s">
        <v>182</v>
      </c>
      <c r="I314" s="24" t="s">
        <v>276</v>
      </c>
      <c r="J314" s="32"/>
      <c r="K314" s="10"/>
      <c r="L314" s="32"/>
      <c r="M314" s="10"/>
      <c r="N314" s="33"/>
      <c r="O314" s="103">
        <f>SUM(O315:O317)</f>
        <v>1257.2600000000002</v>
      </c>
      <c r="P314" s="185"/>
      <c r="Q314" s="185"/>
    </row>
    <row r="315" spans="1:17" hidden="1" outlineLevel="2">
      <c r="E315" s="59"/>
      <c r="F315" s="60"/>
      <c r="G315" s="34"/>
      <c r="H315" s="30"/>
      <c r="I315" s="35"/>
      <c r="J315" s="32"/>
      <c r="K315" s="33">
        <v>246.43</v>
      </c>
      <c r="L315" s="32"/>
      <c r="M315" s="10"/>
      <c r="N315" s="33">
        <v>1</v>
      </c>
      <c r="O315" s="58">
        <f>ROUND(PRODUCT(J315:N315),2)</f>
        <v>246.43</v>
      </c>
      <c r="P315" s="185"/>
      <c r="Q315" s="185"/>
    </row>
    <row r="316" spans="1:17" hidden="1" outlineLevel="2">
      <c r="E316" s="59"/>
      <c r="F316" s="60"/>
      <c r="G316" s="34"/>
      <c r="H316" s="30"/>
      <c r="I316" s="35"/>
      <c r="J316" s="32"/>
      <c r="K316" s="33">
        <v>429.73</v>
      </c>
      <c r="L316" s="32"/>
      <c r="M316" s="10"/>
      <c r="N316" s="33">
        <v>2</v>
      </c>
      <c r="O316" s="58">
        <f>ROUND(PRODUCT(J316:N316),2)</f>
        <v>859.46</v>
      </c>
      <c r="P316" s="185"/>
      <c r="Q316" s="185"/>
    </row>
    <row r="317" spans="1:17" hidden="1" outlineLevel="2">
      <c r="E317" s="59"/>
      <c r="F317" s="60"/>
      <c r="G317" s="34"/>
      <c r="H317" s="30"/>
      <c r="I317" s="35"/>
      <c r="J317" s="32"/>
      <c r="K317" s="33">
        <f>24.7+17.16+109.51</f>
        <v>151.37</v>
      </c>
      <c r="L317" s="32"/>
      <c r="M317" s="10"/>
      <c r="N317" s="33">
        <v>1</v>
      </c>
      <c r="O317" s="58">
        <f>ROUND(PRODUCT(J317:N317),2)</f>
        <v>151.37</v>
      </c>
      <c r="P317" s="185"/>
      <c r="Q317" s="185"/>
    </row>
    <row r="318" spans="1:17" ht="30" hidden="1" outlineLevel="2">
      <c r="E318" s="59"/>
      <c r="F318" s="21" t="s">
        <v>2967</v>
      </c>
      <c r="G318" s="113">
        <v>94213</v>
      </c>
      <c r="H318" s="114" t="s">
        <v>185</v>
      </c>
      <c r="I318" s="24" t="s">
        <v>276</v>
      </c>
      <c r="J318" s="32"/>
      <c r="K318" s="10"/>
      <c r="L318" s="32"/>
      <c r="M318" s="10"/>
      <c r="N318" s="33"/>
      <c r="O318" s="103">
        <f>SUM(O319)</f>
        <v>474.01</v>
      </c>
      <c r="P318" s="185"/>
      <c r="Q318" s="185"/>
    </row>
    <row r="319" spans="1:17" hidden="1" outlineLevel="2">
      <c r="E319" s="59"/>
      <c r="F319" s="60"/>
      <c r="G319" s="34"/>
      <c r="H319" s="30"/>
      <c r="I319" s="35"/>
      <c r="J319" s="32"/>
      <c r="K319" s="33">
        <v>474.01</v>
      </c>
      <c r="L319" s="32"/>
      <c r="M319" s="10"/>
      <c r="N319" s="33"/>
      <c r="O319" s="58">
        <f>ROUND(PRODUCT(J319:N319),2)</f>
        <v>474.01</v>
      </c>
      <c r="P319" s="185"/>
      <c r="Q319" s="185"/>
    </row>
    <row r="320" spans="1:17" ht="30" hidden="1" outlineLevel="1">
      <c r="A320" s="2">
        <v>5</v>
      </c>
      <c r="B320" s="2">
        <v>4</v>
      </c>
      <c r="C320" s="2">
        <f>C314+1</f>
        <v>6</v>
      </c>
      <c r="E320" s="20" t="str">
        <f>CONCATENATE(A320,".",B320,".",C320)</f>
        <v>5.4.6</v>
      </c>
      <c r="F320" s="120" t="s">
        <v>2968</v>
      </c>
      <c r="G320" s="113">
        <v>100327</v>
      </c>
      <c r="H320" s="114" t="s">
        <v>188</v>
      </c>
      <c r="I320" s="115" t="s">
        <v>144</v>
      </c>
      <c r="J320" s="121"/>
      <c r="K320" s="117"/>
      <c r="L320" s="121"/>
      <c r="M320" s="117"/>
      <c r="N320" s="82"/>
      <c r="O320" s="122">
        <f>SUM(O321:O326)</f>
        <v>135.66</v>
      </c>
      <c r="P320" s="185"/>
      <c r="Q320" s="185"/>
    </row>
    <row r="321" spans="1:17" hidden="1" outlineLevel="1">
      <c r="E321" s="20"/>
      <c r="F321" s="21"/>
      <c r="G321" s="22"/>
      <c r="H321" s="23"/>
      <c r="I321" s="24"/>
      <c r="J321" s="32"/>
      <c r="K321" s="33">
        <v>13.77</v>
      </c>
      <c r="L321" s="32"/>
      <c r="M321" s="10"/>
      <c r="N321" s="33">
        <v>2</v>
      </c>
      <c r="O321" s="58">
        <f t="shared" ref="O321:O326" si="12">ROUND(PRODUCT(J321:N321),2)</f>
        <v>27.54</v>
      </c>
      <c r="P321" s="185"/>
      <c r="Q321" s="185"/>
    </row>
    <row r="322" spans="1:17" hidden="1" outlineLevel="1">
      <c r="E322" s="20"/>
      <c r="F322" s="21"/>
      <c r="G322" s="22"/>
      <c r="H322" s="23"/>
      <c r="I322" s="24"/>
      <c r="J322" s="32"/>
      <c r="K322" s="82">
        <v>16.829999999999998</v>
      </c>
      <c r="L322" s="32"/>
      <c r="M322" s="10"/>
      <c r="N322" s="33">
        <v>2</v>
      </c>
      <c r="O322" s="58">
        <f t="shared" si="12"/>
        <v>33.659999999999997</v>
      </c>
      <c r="P322" s="185"/>
      <c r="Q322" s="185"/>
    </row>
    <row r="323" spans="1:17" hidden="1" outlineLevel="1">
      <c r="E323" s="20"/>
      <c r="F323" s="21"/>
      <c r="G323" s="22"/>
      <c r="H323" s="23"/>
      <c r="I323" s="24"/>
      <c r="J323" s="32"/>
      <c r="K323" s="82">
        <v>11.06</v>
      </c>
      <c r="L323" s="32"/>
      <c r="M323" s="10"/>
      <c r="N323" s="33">
        <v>4</v>
      </c>
      <c r="O323" s="58">
        <f t="shared" si="12"/>
        <v>44.24</v>
      </c>
      <c r="P323" s="185"/>
      <c r="Q323" s="185"/>
    </row>
    <row r="324" spans="1:17" hidden="1" outlineLevel="1">
      <c r="E324" s="20"/>
      <c r="F324" s="21"/>
      <c r="G324" s="22"/>
      <c r="H324" s="23"/>
      <c r="I324" s="24"/>
      <c r="J324" s="32"/>
      <c r="K324" s="2">
        <v>7.6</v>
      </c>
      <c r="L324" s="32"/>
      <c r="M324" s="10"/>
      <c r="N324" s="33">
        <v>2</v>
      </c>
      <c r="O324" s="58">
        <f t="shared" si="12"/>
        <v>15.2</v>
      </c>
      <c r="P324" s="185"/>
      <c r="Q324" s="185"/>
    </row>
    <row r="325" spans="1:17" hidden="1" outlineLevel="1">
      <c r="E325" s="20"/>
      <c r="F325" s="21"/>
      <c r="G325" s="22"/>
      <c r="H325" s="23"/>
      <c r="I325" s="24"/>
      <c r="J325" s="32"/>
      <c r="K325" s="82">
        <v>2.76</v>
      </c>
      <c r="L325" s="32"/>
      <c r="M325" s="10"/>
      <c r="N325" s="33">
        <v>2</v>
      </c>
      <c r="O325" s="58">
        <f t="shared" si="12"/>
        <v>5.52</v>
      </c>
      <c r="P325" s="185"/>
      <c r="Q325" s="185"/>
    </row>
    <row r="326" spans="1:17" hidden="1" outlineLevel="2">
      <c r="E326" s="59"/>
      <c r="F326" s="60"/>
      <c r="G326" s="34"/>
      <c r="H326" s="30"/>
      <c r="I326" s="35"/>
      <c r="J326" s="32"/>
      <c r="K326" s="82">
        <v>4.75</v>
      </c>
      <c r="L326" s="32"/>
      <c r="M326" s="10"/>
      <c r="N326" s="33">
        <v>2</v>
      </c>
      <c r="O326" s="58">
        <f t="shared" si="12"/>
        <v>9.5</v>
      </c>
      <c r="P326" s="185"/>
      <c r="Q326" s="185"/>
    </row>
    <row r="327" spans="1:17" collapsed="1">
      <c r="E327" s="52" t="s">
        <v>2969</v>
      </c>
      <c r="F327" s="53" t="s">
        <v>2969</v>
      </c>
      <c r="G327" s="13"/>
      <c r="H327" s="14" t="s">
        <v>190</v>
      </c>
      <c r="I327" s="13"/>
      <c r="J327" s="16"/>
      <c r="K327" s="17"/>
      <c r="L327" s="16"/>
      <c r="M327" s="17"/>
      <c r="N327" s="18"/>
      <c r="O327" s="61"/>
      <c r="P327" s="185"/>
      <c r="Q327" s="185"/>
    </row>
    <row r="328" spans="1:17" ht="30" hidden="1" outlineLevel="1">
      <c r="A328" s="2">
        <v>5</v>
      </c>
      <c r="B328" s="2">
        <v>5</v>
      </c>
      <c r="C328" s="2">
        <v>1</v>
      </c>
      <c r="E328" s="20" t="str">
        <f>CONCATENATE(A328,".",B328,".",C328)</f>
        <v>5.5.1</v>
      </c>
      <c r="F328" s="21" t="s">
        <v>2970</v>
      </c>
      <c r="G328" s="113">
        <v>98562</v>
      </c>
      <c r="H328" s="114" t="s">
        <v>193</v>
      </c>
      <c r="I328" s="24" t="s">
        <v>276</v>
      </c>
      <c r="J328" s="32"/>
      <c r="K328" s="10"/>
      <c r="L328" s="32"/>
      <c r="M328" s="10"/>
      <c r="N328" s="10"/>
      <c r="O328" s="27">
        <f>SUM(O329:O350)</f>
        <v>3441.93</v>
      </c>
      <c r="P328" s="185"/>
      <c r="Q328" s="185"/>
    </row>
    <row r="329" spans="1:17" hidden="1" outlineLevel="2">
      <c r="E329" s="20"/>
      <c r="F329" s="21"/>
      <c r="G329" s="22"/>
      <c r="H329" s="30" t="s">
        <v>2971</v>
      </c>
      <c r="I329" s="35"/>
      <c r="J329" s="41"/>
      <c r="K329" s="33"/>
      <c r="L329" s="41"/>
      <c r="M329" s="33"/>
      <c r="N329" s="33">
        <v>324.68</v>
      </c>
      <c r="O329" s="58">
        <f t="shared" ref="O329:O345" si="13">ROUND(PRODUCT(J329:N329),2)</f>
        <v>324.68</v>
      </c>
      <c r="P329" s="185"/>
      <c r="Q329" s="185"/>
    </row>
    <row r="330" spans="1:17" hidden="1" outlineLevel="2">
      <c r="E330" s="20"/>
      <c r="F330" s="21"/>
      <c r="G330" s="22"/>
      <c r="H330" s="30" t="s">
        <v>2972</v>
      </c>
      <c r="I330" s="35"/>
      <c r="J330" s="41"/>
      <c r="K330" s="33"/>
      <c r="L330" s="41"/>
      <c r="M330" s="33"/>
      <c r="N330" s="33">
        <v>1349.82</v>
      </c>
      <c r="O330" s="58">
        <f t="shared" si="13"/>
        <v>1349.82</v>
      </c>
      <c r="P330" s="185"/>
      <c r="Q330" s="185"/>
    </row>
    <row r="331" spans="1:17" hidden="1" outlineLevel="2">
      <c r="E331" s="20"/>
      <c r="F331" s="21"/>
      <c r="G331" s="22"/>
      <c r="H331" s="30" t="s">
        <v>2971</v>
      </c>
      <c r="I331" s="35"/>
      <c r="J331" s="41"/>
      <c r="K331" s="33"/>
      <c r="L331" s="41"/>
      <c r="M331" s="33"/>
      <c r="N331" s="33">
        <v>324.68</v>
      </c>
      <c r="O331" s="58">
        <f t="shared" si="13"/>
        <v>324.68</v>
      </c>
      <c r="P331" s="185"/>
      <c r="Q331" s="185"/>
    </row>
    <row r="332" spans="1:17" hidden="1" outlineLevel="2">
      <c r="E332" s="20"/>
      <c r="F332" s="21"/>
      <c r="G332" s="22"/>
      <c r="H332" s="30" t="s">
        <v>2972</v>
      </c>
      <c r="I332" s="35"/>
      <c r="J332" s="41"/>
      <c r="K332" s="33"/>
      <c r="L332" s="41"/>
      <c r="M332" s="33"/>
      <c r="N332" s="33">
        <v>1349.82</v>
      </c>
      <c r="O332" s="58">
        <f t="shared" si="13"/>
        <v>1349.82</v>
      </c>
      <c r="P332" s="185"/>
      <c r="Q332" s="185"/>
    </row>
    <row r="333" spans="1:17" hidden="1" outlineLevel="2">
      <c r="E333" s="20"/>
      <c r="F333" s="21"/>
      <c r="G333" s="22"/>
      <c r="H333" s="30" t="s">
        <v>2973</v>
      </c>
      <c r="I333" s="35"/>
      <c r="J333" s="41"/>
      <c r="K333" s="33"/>
      <c r="L333" s="41"/>
      <c r="M333" s="33"/>
      <c r="N333" s="33">
        <v>2.4</v>
      </c>
      <c r="O333" s="58">
        <f t="shared" si="13"/>
        <v>2.4</v>
      </c>
      <c r="P333" s="185"/>
      <c r="Q333" s="185"/>
    </row>
    <row r="334" spans="1:17" hidden="1" outlineLevel="2">
      <c r="E334" s="20"/>
      <c r="F334" s="21"/>
      <c r="G334" s="22"/>
      <c r="H334" s="30" t="s">
        <v>2974</v>
      </c>
      <c r="I334" s="35"/>
      <c r="J334" s="41"/>
      <c r="K334" s="33"/>
      <c r="L334" s="41"/>
      <c r="M334" s="33"/>
      <c r="N334" s="33">
        <v>2.4</v>
      </c>
      <c r="O334" s="58">
        <f t="shared" si="13"/>
        <v>2.4</v>
      </c>
      <c r="P334" s="185"/>
      <c r="Q334" s="185"/>
    </row>
    <row r="335" spans="1:17" hidden="1" outlineLevel="2">
      <c r="E335" s="20"/>
      <c r="F335" s="21"/>
      <c r="G335" s="22"/>
      <c r="H335" s="30" t="s">
        <v>2902</v>
      </c>
      <c r="I335" s="35"/>
      <c r="J335" s="41"/>
      <c r="K335" s="33"/>
      <c r="L335" s="41"/>
      <c r="M335" s="33"/>
      <c r="N335" s="33">
        <v>3.43</v>
      </c>
      <c r="O335" s="58">
        <f t="shared" si="13"/>
        <v>3.43</v>
      </c>
      <c r="P335" s="185"/>
      <c r="Q335" s="185"/>
    </row>
    <row r="336" spans="1:17" hidden="1" outlineLevel="2">
      <c r="E336" s="20"/>
      <c r="F336" s="21"/>
      <c r="G336" s="22"/>
      <c r="H336" s="30" t="s">
        <v>2903</v>
      </c>
      <c r="I336" s="35"/>
      <c r="J336" s="41"/>
      <c r="K336" s="33"/>
      <c r="L336" s="41"/>
      <c r="M336" s="33"/>
      <c r="N336" s="33">
        <v>3.43</v>
      </c>
      <c r="O336" s="58">
        <f t="shared" si="13"/>
        <v>3.43</v>
      </c>
      <c r="P336" s="185"/>
      <c r="Q336" s="185"/>
    </row>
    <row r="337" spans="1:17" hidden="1" outlineLevel="2">
      <c r="E337" s="20"/>
      <c r="F337" s="21"/>
      <c r="G337" s="22"/>
      <c r="H337" s="30" t="s">
        <v>2880</v>
      </c>
      <c r="I337" s="35"/>
      <c r="J337" s="41"/>
      <c r="K337" s="33"/>
      <c r="L337" s="41"/>
      <c r="M337" s="33"/>
      <c r="N337" s="33">
        <v>10.42</v>
      </c>
      <c r="O337" s="58">
        <f t="shared" si="13"/>
        <v>10.42</v>
      </c>
      <c r="P337" s="185"/>
      <c r="Q337" s="185"/>
    </row>
    <row r="338" spans="1:17" hidden="1" outlineLevel="2">
      <c r="E338" s="20"/>
      <c r="F338" s="21"/>
      <c r="G338" s="22"/>
      <c r="H338" s="30" t="s">
        <v>2902</v>
      </c>
      <c r="I338" s="35"/>
      <c r="J338" s="41"/>
      <c r="K338" s="33"/>
      <c r="L338" s="41"/>
      <c r="M338" s="33"/>
      <c r="N338" s="33">
        <v>2.13</v>
      </c>
      <c r="O338" s="58">
        <f t="shared" si="13"/>
        <v>2.13</v>
      </c>
      <c r="P338" s="185"/>
      <c r="Q338" s="185"/>
    </row>
    <row r="339" spans="1:17" hidden="1" outlineLevel="2">
      <c r="E339" s="20"/>
      <c r="F339" s="21"/>
      <c r="G339" s="22"/>
      <c r="H339" s="30" t="s">
        <v>2903</v>
      </c>
      <c r="I339" s="35"/>
      <c r="J339" s="41"/>
      <c r="K339" s="33"/>
      <c r="L339" s="41"/>
      <c r="M339" s="33"/>
      <c r="N339" s="33">
        <v>2.13</v>
      </c>
      <c r="O339" s="58">
        <f t="shared" si="13"/>
        <v>2.13</v>
      </c>
      <c r="P339" s="185"/>
      <c r="Q339" s="185"/>
    </row>
    <row r="340" spans="1:17" hidden="1" outlineLevel="2">
      <c r="E340" s="20"/>
      <c r="F340" s="21"/>
      <c r="G340" s="22"/>
      <c r="H340" s="30" t="s">
        <v>2975</v>
      </c>
      <c r="I340" s="35"/>
      <c r="J340" s="41"/>
      <c r="K340" s="33"/>
      <c r="L340" s="41"/>
      <c r="M340" s="33"/>
      <c r="N340" s="33">
        <v>19.95</v>
      </c>
      <c r="O340" s="58">
        <f t="shared" si="13"/>
        <v>19.95</v>
      </c>
      <c r="P340" s="185"/>
      <c r="Q340" s="185"/>
    </row>
    <row r="341" spans="1:17" hidden="1" outlineLevel="2">
      <c r="E341" s="20"/>
      <c r="F341" s="21"/>
      <c r="G341" s="22"/>
      <c r="H341" s="30" t="s">
        <v>2976</v>
      </c>
      <c r="I341" s="35"/>
      <c r="J341" s="41"/>
      <c r="K341" s="33"/>
      <c r="L341" s="41"/>
      <c r="M341" s="33"/>
      <c r="N341" s="33">
        <v>19.95</v>
      </c>
      <c r="O341" s="58">
        <f t="shared" si="13"/>
        <v>19.95</v>
      </c>
      <c r="P341" s="185"/>
      <c r="Q341" s="185"/>
    </row>
    <row r="342" spans="1:17" hidden="1" outlineLevel="2">
      <c r="E342" s="20"/>
      <c r="F342" s="21"/>
      <c r="G342" s="22"/>
      <c r="H342" s="30" t="s">
        <v>2977</v>
      </c>
      <c r="I342" s="35"/>
      <c r="J342" s="41"/>
      <c r="K342" s="33"/>
      <c r="L342" s="41"/>
      <c r="M342" s="33"/>
      <c r="N342" s="33">
        <v>1.94</v>
      </c>
      <c r="O342" s="58">
        <f t="shared" si="13"/>
        <v>1.94</v>
      </c>
      <c r="P342" s="185"/>
      <c r="Q342" s="185"/>
    </row>
    <row r="343" spans="1:17" hidden="1" outlineLevel="2">
      <c r="E343" s="20"/>
      <c r="F343" s="21"/>
      <c r="G343" s="22"/>
      <c r="H343" s="30" t="s">
        <v>2978</v>
      </c>
      <c r="I343" s="35"/>
      <c r="J343" s="41"/>
      <c r="K343" s="33"/>
      <c r="L343" s="41"/>
      <c r="M343" s="33"/>
      <c r="N343" s="33">
        <v>6.07</v>
      </c>
      <c r="O343" s="58">
        <f t="shared" si="13"/>
        <v>6.07</v>
      </c>
      <c r="P343" s="185"/>
      <c r="Q343" s="185"/>
    </row>
    <row r="344" spans="1:17" hidden="1" outlineLevel="2">
      <c r="E344" s="20"/>
      <c r="F344" s="21"/>
      <c r="G344" s="22"/>
      <c r="H344" s="30" t="s">
        <v>2979</v>
      </c>
      <c r="I344" s="35"/>
      <c r="J344" s="41"/>
      <c r="K344" s="33"/>
      <c r="L344" s="41"/>
      <c r="M344" s="33"/>
      <c r="N344" s="33">
        <v>3.33</v>
      </c>
      <c r="O344" s="58">
        <f t="shared" si="13"/>
        <v>3.33</v>
      </c>
      <c r="P344" s="185"/>
      <c r="Q344" s="185"/>
    </row>
    <row r="345" spans="1:17" hidden="1" outlineLevel="2">
      <c r="E345" s="20"/>
      <c r="F345" s="21"/>
      <c r="G345" s="22"/>
      <c r="H345" s="30" t="s">
        <v>2980</v>
      </c>
      <c r="I345" s="35"/>
      <c r="J345" s="41"/>
      <c r="K345" s="33"/>
      <c r="L345" s="41"/>
      <c r="M345" s="33"/>
      <c r="N345" s="33">
        <v>6.07</v>
      </c>
      <c r="O345" s="58">
        <f t="shared" si="13"/>
        <v>6.07</v>
      </c>
      <c r="P345" s="185"/>
      <c r="Q345" s="185"/>
    </row>
    <row r="346" spans="1:17" hidden="1" outlineLevel="2">
      <c r="E346" s="20"/>
      <c r="F346" s="21"/>
      <c r="G346" s="22"/>
      <c r="H346" s="115" t="s">
        <v>2981</v>
      </c>
      <c r="I346" s="35"/>
      <c r="J346" s="41"/>
      <c r="K346" s="33"/>
      <c r="L346" s="41"/>
      <c r="M346" s="33"/>
      <c r="N346" s="33"/>
      <c r="O346" s="58"/>
      <c r="P346" s="185"/>
      <c r="Q346" s="185"/>
    </row>
    <row r="347" spans="1:17" hidden="1" outlineLevel="2">
      <c r="E347" s="20"/>
      <c r="F347" s="21"/>
      <c r="G347" s="22"/>
      <c r="H347" s="30" t="s">
        <v>2902</v>
      </c>
      <c r="I347" s="35"/>
      <c r="J347" s="41"/>
      <c r="K347" s="33"/>
      <c r="L347" s="41"/>
      <c r="M347" s="33"/>
      <c r="N347" s="33">
        <v>3.04</v>
      </c>
      <c r="O347" s="58">
        <f>ROUND(PRODUCT(J347:N347),2)</f>
        <v>3.04</v>
      </c>
      <c r="P347" s="185"/>
      <c r="Q347" s="185"/>
    </row>
    <row r="348" spans="1:17" hidden="1" outlineLevel="2">
      <c r="E348" s="20"/>
      <c r="F348" s="21"/>
      <c r="G348" s="22"/>
      <c r="H348" s="30" t="s">
        <v>2903</v>
      </c>
      <c r="I348" s="35"/>
      <c r="J348" s="41"/>
      <c r="K348" s="33"/>
      <c r="L348" s="41"/>
      <c r="M348" s="33"/>
      <c r="N348" s="33">
        <v>2.08</v>
      </c>
      <c r="O348" s="58">
        <f>ROUND(PRODUCT(J348:N348),2)</f>
        <v>2.08</v>
      </c>
      <c r="P348" s="185"/>
      <c r="Q348" s="185"/>
    </row>
    <row r="349" spans="1:17" hidden="1" outlineLevel="2">
      <c r="E349" s="20"/>
      <c r="F349" s="21"/>
      <c r="G349" s="22"/>
      <c r="H349" s="30" t="s">
        <v>2975</v>
      </c>
      <c r="I349" s="35"/>
      <c r="J349" s="41"/>
      <c r="K349" s="33"/>
      <c r="L349" s="41"/>
      <c r="M349" s="33"/>
      <c r="N349" s="33">
        <v>2.08</v>
      </c>
      <c r="O349" s="58">
        <f>ROUND(PRODUCT(J349:N349),2)</f>
        <v>2.08</v>
      </c>
      <c r="P349" s="185"/>
      <c r="Q349" s="185"/>
    </row>
    <row r="350" spans="1:17" hidden="1" outlineLevel="2">
      <c r="E350" s="20"/>
      <c r="F350" s="21"/>
      <c r="G350" s="22"/>
      <c r="H350" s="30" t="s">
        <v>2976</v>
      </c>
      <c r="I350" s="35"/>
      <c r="J350" s="41"/>
      <c r="K350" s="33"/>
      <c r="L350" s="41"/>
      <c r="M350" s="33"/>
      <c r="N350" s="33">
        <v>2.08</v>
      </c>
      <c r="O350" s="58">
        <f>ROUND(PRODUCT(J350:N350),2)</f>
        <v>2.08</v>
      </c>
      <c r="P350" s="185"/>
      <c r="Q350" s="185"/>
    </row>
    <row r="351" spans="1:17" ht="30" hidden="1" outlineLevel="1">
      <c r="A351" s="2">
        <v>5</v>
      </c>
      <c r="B351" s="2">
        <v>5</v>
      </c>
      <c r="C351" s="2">
        <f>C328+1</f>
        <v>2</v>
      </c>
      <c r="E351" s="20" t="str">
        <f>CONCATENATE(A351,".",B351,".",C351)</f>
        <v>5.5.2</v>
      </c>
      <c r="F351" s="21" t="s">
        <v>2982</v>
      </c>
      <c r="G351" s="22">
        <v>1294</v>
      </c>
      <c r="H351" s="23" t="s">
        <v>2983</v>
      </c>
      <c r="I351" s="24" t="s">
        <v>45</v>
      </c>
      <c r="J351" s="32"/>
      <c r="K351" s="10"/>
      <c r="L351" s="32"/>
      <c r="M351" s="10"/>
      <c r="N351" s="10"/>
      <c r="O351" s="27">
        <f>SUM(O352:O400)</f>
        <v>2037.100000000001</v>
      </c>
      <c r="P351" s="28"/>
      <c r="Q351" s="185"/>
    </row>
    <row r="352" spans="1:17" hidden="1" outlineLevel="2">
      <c r="E352" s="20"/>
      <c r="F352" s="21"/>
      <c r="G352" s="22"/>
      <c r="H352" s="30" t="s">
        <v>2971</v>
      </c>
      <c r="I352" s="35"/>
      <c r="J352" s="41"/>
      <c r="K352" s="33"/>
      <c r="L352" s="41"/>
      <c r="M352" s="33"/>
      <c r="N352" s="33">
        <v>324.68</v>
      </c>
      <c r="O352" s="58">
        <f>ROUND(PRODUCT(J352:N352),2)</f>
        <v>324.68</v>
      </c>
      <c r="P352" s="185"/>
      <c r="Q352" s="185"/>
    </row>
    <row r="353" spans="5:17" hidden="1" outlineLevel="2">
      <c r="E353" s="20"/>
      <c r="F353" s="21"/>
      <c r="G353" s="22"/>
      <c r="H353" s="30" t="s">
        <v>2972</v>
      </c>
      <c r="I353" s="35"/>
      <c r="J353" s="41"/>
      <c r="K353" s="33"/>
      <c r="L353" s="41"/>
      <c r="M353" s="33"/>
      <c r="N353" s="33">
        <v>1349.82</v>
      </c>
      <c r="O353" s="58">
        <f>ROUND(PRODUCT(J353:N353),2)</f>
        <v>1349.82</v>
      </c>
      <c r="P353" s="185"/>
      <c r="Q353" s="185"/>
    </row>
    <row r="354" spans="5:17" hidden="1" outlineLevel="2">
      <c r="E354" s="20"/>
      <c r="F354" s="21"/>
      <c r="G354" s="22"/>
      <c r="H354" s="30" t="s">
        <v>2973</v>
      </c>
      <c r="I354" s="35"/>
      <c r="J354" s="41"/>
      <c r="K354" s="33"/>
      <c r="L354" s="41"/>
      <c r="M354" s="33"/>
      <c r="N354" s="33">
        <v>2.4</v>
      </c>
      <c r="O354" s="58">
        <f>ROUND(PRODUCT(J354:N354),2)</f>
        <v>2.4</v>
      </c>
      <c r="P354" s="185"/>
      <c r="Q354" s="185"/>
    </row>
    <row r="355" spans="5:17" hidden="1" outlineLevel="2">
      <c r="E355" s="20"/>
      <c r="F355" s="21"/>
      <c r="G355" s="22"/>
      <c r="H355" s="30" t="s">
        <v>2974</v>
      </c>
      <c r="I355" s="35"/>
      <c r="J355" s="41"/>
      <c r="K355" s="33"/>
      <c r="L355" s="41"/>
      <c r="M355" s="33"/>
      <c r="N355" s="33">
        <v>2.4</v>
      </c>
      <c r="O355" s="58">
        <f>ROUND(PRODUCT(J355:N355),2)</f>
        <v>2.4</v>
      </c>
      <c r="P355" s="185"/>
      <c r="Q355" s="185"/>
    </row>
    <row r="356" spans="5:17" hidden="1" outlineLevel="2">
      <c r="E356" s="20"/>
      <c r="F356" s="21"/>
      <c r="G356" s="22"/>
      <c r="H356" s="30" t="s">
        <v>2902</v>
      </c>
      <c r="I356" s="35"/>
      <c r="J356" s="41"/>
      <c r="K356" s="33"/>
      <c r="L356" s="41"/>
      <c r="M356" s="33"/>
      <c r="N356" s="33">
        <v>3.43</v>
      </c>
      <c r="O356" s="58">
        <f t="shared" ref="O356:O373" si="14">ROUND(PRODUCT(J356:N356),2)</f>
        <v>3.43</v>
      </c>
      <c r="P356" s="185"/>
      <c r="Q356" s="185"/>
    </row>
    <row r="357" spans="5:17" hidden="1" outlineLevel="2">
      <c r="E357" s="20"/>
      <c r="F357" s="21"/>
      <c r="G357" s="22"/>
      <c r="H357" s="30" t="s">
        <v>2903</v>
      </c>
      <c r="I357" s="35"/>
      <c r="J357" s="41"/>
      <c r="K357" s="33"/>
      <c r="L357" s="41"/>
      <c r="M357" s="33"/>
      <c r="N357" s="33">
        <v>3.43</v>
      </c>
      <c r="O357" s="58">
        <f t="shared" si="14"/>
        <v>3.43</v>
      </c>
      <c r="P357" s="185"/>
      <c r="Q357" s="185"/>
    </row>
    <row r="358" spans="5:17" hidden="1" outlineLevel="2">
      <c r="E358" s="20"/>
      <c r="F358" s="21"/>
      <c r="G358" s="22"/>
      <c r="H358" s="30" t="s">
        <v>2880</v>
      </c>
      <c r="I358" s="35"/>
      <c r="J358" s="41"/>
      <c r="K358" s="33"/>
      <c r="L358" s="41"/>
      <c r="M358" s="33"/>
      <c r="N358" s="33">
        <v>10.42</v>
      </c>
      <c r="O358" s="58">
        <f t="shared" si="14"/>
        <v>10.42</v>
      </c>
      <c r="P358" s="185"/>
      <c r="Q358" s="185"/>
    </row>
    <row r="359" spans="5:17" hidden="1" outlineLevel="2">
      <c r="E359" s="20"/>
      <c r="F359" s="21"/>
      <c r="G359" s="22"/>
      <c r="H359" s="30" t="s">
        <v>2902</v>
      </c>
      <c r="I359" s="35"/>
      <c r="J359" s="41"/>
      <c r="K359" s="33"/>
      <c r="L359" s="41"/>
      <c r="M359" s="33"/>
      <c r="N359" s="33">
        <v>2.13</v>
      </c>
      <c r="O359" s="58">
        <f t="shared" si="14"/>
        <v>2.13</v>
      </c>
      <c r="P359" s="185"/>
      <c r="Q359" s="185"/>
    </row>
    <row r="360" spans="5:17" hidden="1" outlineLevel="2">
      <c r="E360" s="20"/>
      <c r="F360" s="21"/>
      <c r="G360" s="22"/>
      <c r="H360" s="30" t="s">
        <v>2903</v>
      </c>
      <c r="I360" s="35"/>
      <c r="J360" s="41"/>
      <c r="K360" s="33"/>
      <c r="L360" s="41"/>
      <c r="M360" s="33"/>
      <c r="N360" s="33">
        <v>2.13</v>
      </c>
      <c r="O360" s="58">
        <f t="shared" si="14"/>
        <v>2.13</v>
      </c>
      <c r="P360" s="185"/>
      <c r="Q360" s="185"/>
    </row>
    <row r="361" spans="5:17" hidden="1" outlineLevel="2">
      <c r="E361" s="20"/>
      <c r="F361" s="21"/>
      <c r="G361" s="22"/>
      <c r="H361" s="30" t="s">
        <v>2975</v>
      </c>
      <c r="I361" s="35"/>
      <c r="J361" s="41"/>
      <c r="K361" s="33"/>
      <c r="L361" s="41"/>
      <c r="M361" s="33"/>
      <c r="N361" s="33">
        <v>19.95</v>
      </c>
      <c r="O361" s="58">
        <f t="shared" si="14"/>
        <v>19.95</v>
      </c>
      <c r="P361" s="185"/>
      <c r="Q361" s="185"/>
    </row>
    <row r="362" spans="5:17" hidden="1" outlineLevel="2">
      <c r="E362" s="20"/>
      <c r="F362" s="21"/>
      <c r="G362" s="22"/>
      <c r="H362" s="30" t="s">
        <v>2976</v>
      </c>
      <c r="I362" s="35"/>
      <c r="J362" s="41"/>
      <c r="K362" s="33"/>
      <c r="L362" s="41"/>
      <c r="M362" s="33"/>
      <c r="N362" s="33">
        <v>19.95</v>
      </c>
      <c r="O362" s="58">
        <f t="shared" si="14"/>
        <v>19.95</v>
      </c>
      <c r="P362" s="185"/>
      <c r="Q362" s="185"/>
    </row>
    <row r="363" spans="5:17" hidden="1" outlineLevel="2">
      <c r="E363" s="20"/>
      <c r="F363" s="21"/>
      <c r="G363" s="22"/>
      <c r="H363" s="30" t="s">
        <v>2977</v>
      </c>
      <c r="I363" s="35"/>
      <c r="J363" s="41"/>
      <c r="K363" s="33"/>
      <c r="L363" s="41"/>
      <c r="M363" s="33"/>
      <c r="N363" s="33">
        <v>1.94</v>
      </c>
      <c r="O363" s="58">
        <f t="shared" si="14"/>
        <v>1.94</v>
      </c>
      <c r="P363" s="185"/>
      <c r="Q363" s="185"/>
    </row>
    <row r="364" spans="5:17" hidden="1" outlineLevel="2">
      <c r="E364" s="20"/>
      <c r="F364" s="21"/>
      <c r="G364" s="22"/>
      <c r="H364" s="30" t="s">
        <v>2978</v>
      </c>
      <c r="I364" s="35"/>
      <c r="J364" s="41"/>
      <c r="K364" s="33"/>
      <c r="L364" s="41"/>
      <c r="M364" s="33"/>
      <c r="N364" s="33">
        <v>6.07</v>
      </c>
      <c r="O364" s="58">
        <f t="shared" si="14"/>
        <v>6.07</v>
      </c>
      <c r="P364" s="185"/>
      <c r="Q364" s="185"/>
    </row>
    <row r="365" spans="5:17" hidden="1" outlineLevel="2">
      <c r="E365" s="20"/>
      <c r="F365" s="21"/>
      <c r="G365" s="22"/>
      <c r="H365" s="30" t="s">
        <v>2979</v>
      </c>
      <c r="I365" s="35"/>
      <c r="J365" s="41"/>
      <c r="K365" s="33"/>
      <c r="L365" s="41"/>
      <c r="M365" s="33"/>
      <c r="N365" s="33">
        <v>3.33</v>
      </c>
      <c r="O365" s="58">
        <f t="shared" si="14"/>
        <v>3.33</v>
      </c>
      <c r="P365" s="185"/>
      <c r="Q365" s="185"/>
    </row>
    <row r="366" spans="5:17" hidden="1" outlineLevel="2">
      <c r="E366" s="20"/>
      <c r="F366" s="21"/>
      <c r="G366" s="22"/>
      <c r="H366" s="30" t="s">
        <v>2980</v>
      </c>
      <c r="I366" s="35"/>
      <c r="J366" s="41"/>
      <c r="K366" s="33"/>
      <c r="L366" s="41"/>
      <c r="M366" s="33"/>
      <c r="N366" s="33">
        <v>6.07</v>
      </c>
      <c r="O366" s="58">
        <f t="shared" si="14"/>
        <v>6.07</v>
      </c>
      <c r="P366" s="185"/>
      <c r="Q366" s="185"/>
    </row>
    <row r="367" spans="5:17" hidden="1" outlineLevel="2">
      <c r="E367" s="20"/>
      <c r="F367" s="21"/>
      <c r="G367" s="22"/>
      <c r="H367" s="115" t="s">
        <v>2981</v>
      </c>
      <c r="I367" s="35"/>
      <c r="J367" s="41"/>
      <c r="K367" s="33"/>
      <c r="L367" s="41"/>
      <c r="M367" s="33"/>
      <c r="N367" s="33"/>
      <c r="O367" s="58"/>
      <c r="P367" s="185"/>
      <c r="Q367" s="185"/>
    </row>
    <row r="368" spans="5:17" hidden="1" outlineLevel="2">
      <c r="E368" s="20"/>
      <c r="F368" s="21"/>
      <c r="G368" s="22"/>
      <c r="H368" s="30" t="s">
        <v>2902</v>
      </c>
      <c r="I368" s="35"/>
      <c r="J368" s="41"/>
      <c r="K368" s="33"/>
      <c r="L368" s="41"/>
      <c r="M368" s="33"/>
      <c r="N368" s="33">
        <v>3.04</v>
      </c>
      <c r="O368" s="58">
        <f t="shared" si="14"/>
        <v>3.04</v>
      </c>
      <c r="P368" s="185"/>
      <c r="Q368" s="185"/>
    </row>
    <row r="369" spans="5:17" hidden="1" outlineLevel="2">
      <c r="E369" s="20"/>
      <c r="F369" s="21"/>
      <c r="G369" s="22"/>
      <c r="H369" s="30" t="s">
        <v>2903</v>
      </c>
      <c r="I369" s="35"/>
      <c r="J369" s="41"/>
      <c r="K369" s="33"/>
      <c r="L369" s="41"/>
      <c r="M369" s="33"/>
      <c r="N369" s="33">
        <v>2.08</v>
      </c>
      <c r="O369" s="58">
        <f t="shared" si="14"/>
        <v>2.08</v>
      </c>
      <c r="P369" s="185"/>
      <c r="Q369" s="185"/>
    </row>
    <row r="370" spans="5:17" hidden="1" outlineLevel="2">
      <c r="E370" s="20"/>
      <c r="F370" s="21"/>
      <c r="G370" s="22"/>
      <c r="H370" s="30" t="s">
        <v>2975</v>
      </c>
      <c r="I370" s="35"/>
      <c r="J370" s="41"/>
      <c r="K370" s="33"/>
      <c r="L370" s="41"/>
      <c r="M370" s="33"/>
      <c r="N370" s="33">
        <v>2.08</v>
      </c>
      <c r="O370" s="58">
        <f t="shared" si="14"/>
        <v>2.08</v>
      </c>
      <c r="P370" s="185"/>
      <c r="Q370" s="185"/>
    </row>
    <row r="371" spans="5:17" hidden="1" outlineLevel="2">
      <c r="E371" s="20"/>
      <c r="F371" s="21"/>
      <c r="G371" s="22"/>
      <c r="H371" s="30" t="s">
        <v>2976</v>
      </c>
      <c r="I371" s="35"/>
      <c r="J371" s="41"/>
      <c r="K371" s="33"/>
      <c r="L371" s="41"/>
      <c r="M371" s="33"/>
      <c r="N371" s="33">
        <v>2.08</v>
      </c>
      <c r="O371" s="58">
        <f t="shared" si="14"/>
        <v>2.08</v>
      </c>
      <c r="P371" s="185"/>
      <c r="Q371" s="185"/>
    </row>
    <row r="372" spans="5:17" hidden="1" outlineLevel="2">
      <c r="E372" s="20"/>
      <c r="F372" s="21"/>
      <c r="G372" s="22"/>
      <c r="H372" s="30"/>
      <c r="I372" s="35"/>
      <c r="J372" s="41"/>
      <c r="K372" s="33"/>
      <c r="L372" s="41"/>
      <c r="M372" s="33"/>
      <c r="N372" s="33"/>
      <c r="O372" s="58"/>
      <c r="P372" s="185"/>
      <c r="Q372" s="185"/>
    </row>
    <row r="373" spans="5:17" hidden="1" outlineLevel="2">
      <c r="E373" s="20"/>
      <c r="F373" s="21"/>
      <c r="G373" s="22"/>
      <c r="H373" s="30" t="s">
        <v>2984</v>
      </c>
      <c r="I373" s="35"/>
      <c r="J373" s="41"/>
      <c r="K373" s="33">
        <v>75.3</v>
      </c>
      <c r="L373" s="41"/>
      <c r="M373" s="33">
        <v>0.4</v>
      </c>
      <c r="N373" s="33"/>
      <c r="O373" s="58">
        <f t="shared" si="14"/>
        <v>30.12</v>
      </c>
      <c r="P373" s="185"/>
      <c r="Q373" s="185"/>
    </row>
    <row r="374" spans="5:17" hidden="1" outlineLevel="2">
      <c r="E374" s="20"/>
      <c r="F374" s="21"/>
      <c r="G374" s="22"/>
      <c r="H374" s="30" t="s">
        <v>2985</v>
      </c>
      <c r="I374" s="35"/>
      <c r="J374" s="41"/>
      <c r="K374" s="33">
        <f>164.83+90.59</f>
        <v>255.42000000000002</v>
      </c>
      <c r="L374" s="41"/>
      <c r="M374" s="33">
        <v>0.4</v>
      </c>
      <c r="N374" s="33"/>
      <c r="O374" s="58">
        <f t="shared" ref="O374:O400" si="15">ROUND(PRODUCT(J374:N374),2)</f>
        <v>102.17</v>
      </c>
      <c r="P374" s="185"/>
      <c r="Q374" s="185"/>
    </row>
    <row r="375" spans="5:17" hidden="1" outlineLevel="2">
      <c r="E375" s="20"/>
      <c r="F375" s="21"/>
      <c r="G375" s="22"/>
      <c r="H375" s="30" t="s">
        <v>2973</v>
      </c>
      <c r="I375" s="35"/>
      <c r="J375" s="41"/>
      <c r="K375" s="33">
        <v>8.6999999999999993</v>
      </c>
      <c r="L375" s="41"/>
      <c r="M375" s="33"/>
      <c r="N375" s="33">
        <v>2.4</v>
      </c>
      <c r="O375" s="58">
        <f t="shared" si="15"/>
        <v>20.88</v>
      </c>
      <c r="P375" s="185"/>
      <c r="Q375" s="185"/>
    </row>
    <row r="376" spans="5:17" hidden="1" outlineLevel="2">
      <c r="E376" s="20"/>
      <c r="F376" s="21"/>
      <c r="G376" s="22"/>
      <c r="H376" s="30" t="str">
        <f>_xlfn.CONCAT(H375," - VÃO")</f>
        <v>BWC FUNC. - VÃO</v>
      </c>
      <c r="I376" s="35"/>
      <c r="J376" s="41">
        <v>-1</v>
      </c>
      <c r="K376" s="33"/>
      <c r="L376" s="41"/>
      <c r="M376" s="33">
        <v>0.4</v>
      </c>
      <c r="N376" s="33">
        <v>0.9</v>
      </c>
      <c r="O376" s="58">
        <f>ROUND(PRODUCT(J376:N376),2)</f>
        <v>-0.36</v>
      </c>
      <c r="P376" s="185"/>
      <c r="Q376" s="185"/>
    </row>
    <row r="377" spans="5:17" hidden="1" outlineLevel="2">
      <c r="E377" s="20"/>
      <c r="F377" s="21"/>
      <c r="G377" s="22"/>
      <c r="H377" s="30" t="s">
        <v>2974</v>
      </c>
      <c r="I377" s="35"/>
      <c r="J377" s="41"/>
      <c r="K377" s="33">
        <v>8.6999999999999993</v>
      </c>
      <c r="L377" s="41"/>
      <c r="M377" s="33"/>
      <c r="N377" s="33"/>
      <c r="O377" s="58">
        <f t="shared" si="15"/>
        <v>8.6999999999999993</v>
      </c>
      <c r="P377" s="185"/>
      <c r="Q377" s="185"/>
    </row>
    <row r="378" spans="5:17" hidden="1" outlineLevel="2">
      <c r="E378" s="20"/>
      <c r="F378" s="21"/>
      <c r="G378" s="22"/>
      <c r="H378" s="30" t="str">
        <f>_xlfn.CONCAT(H377," - VÃO")</f>
        <v>WC DIR. - VÃO</v>
      </c>
      <c r="I378" s="35"/>
      <c r="J378" s="41">
        <v>-1</v>
      </c>
      <c r="K378" s="33"/>
      <c r="L378" s="41"/>
      <c r="M378" s="33">
        <v>0.4</v>
      </c>
      <c r="N378" s="33">
        <v>0.9</v>
      </c>
      <c r="O378" s="58">
        <f t="shared" si="15"/>
        <v>-0.36</v>
      </c>
      <c r="P378" s="185"/>
      <c r="Q378" s="185"/>
    </row>
    <row r="379" spans="5:17" hidden="1" outlineLevel="2">
      <c r="E379" s="20"/>
      <c r="F379" s="21"/>
      <c r="G379" s="22"/>
      <c r="H379" s="30" t="s">
        <v>2902</v>
      </c>
      <c r="I379" s="35"/>
      <c r="J379" s="41"/>
      <c r="K379" s="33">
        <v>7.3</v>
      </c>
      <c r="L379" s="41"/>
      <c r="M379" s="33"/>
      <c r="N379" s="33"/>
      <c r="O379" s="58">
        <f t="shared" si="15"/>
        <v>7.3</v>
      </c>
      <c r="P379" s="185"/>
      <c r="Q379" s="185"/>
    </row>
    <row r="380" spans="5:17" hidden="1" outlineLevel="2">
      <c r="E380" s="20"/>
      <c r="F380" s="21"/>
      <c r="G380" s="22"/>
      <c r="H380" s="30" t="str">
        <f>_xlfn.CONCAT(H379," - VÃO")</f>
        <v>WC PCD FEM. - VÃO</v>
      </c>
      <c r="I380" s="35"/>
      <c r="J380" s="41">
        <v>-1</v>
      </c>
      <c r="K380" s="33"/>
      <c r="L380" s="41"/>
      <c r="M380" s="33">
        <v>0.4</v>
      </c>
      <c r="N380" s="33">
        <v>0.9</v>
      </c>
      <c r="O380" s="58">
        <f t="shared" si="15"/>
        <v>-0.36</v>
      </c>
      <c r="P380" s="185"/>
      <c r="Q380" s="185"/>
    </row>
    <row r="381" spans="5:17" hidden="1" outlineLevel="2">
      <c r="E381" s="20"/>
      <c r="F381" s="21"/>
      <c r="G381" s="22"/>
      <c r="H381" s="30" t="s">
        <v>2903</v>
      </c>
      <c r="I381" s="35"/>
      <c r="J381" s="41"/>
      <c r="K381" s="33">
        <v>7.3</v>
      </c>
      <c r="L381" s="41"/>
      <c r="M381" s="33"/>
      <c r="N381" s="33"/>
      <c r="O381" s="58">
        <f t="shared" si="15"/>
        <v>7.3</v>
      </c>
      <c r="P381" s="185"/>
      <c r="Q381" s="185"/>
    </row>
    <row r="382" spans="5:17" hidden="1" outlineLevel="2">
      <c r="E382" s="20"/>
      <c r="F382" s="21"/>
      <c r="G382" s="22"/>
      <c r="H382" s="30" t="str">
        <f>_xlfn.CONCAT(H381," - VÃO")</f>
        <v>WC PCD MASC. - VÃO</v>
      </c>
      <c r="I382" s="35"/>
      <c r="J382" s="41">
        <v>-1</v>
      </c>
      <c r="K382" s="33"/>
      <c r="L382" s="41"/>
      <c r="M382" s="33">
        <v>0.4</v>
      </c>
      <c r="N382" s="33">
        <v>0.9</v>
      </c>
      <c r="O382" s="58">
        <f t="shared" si="15"/>
        <v>-0.36</v>
      </c>
      <c r="P382" s="185"/>
      <c r="Q382" s="185"/>
    </row>
    <row r="383" spans="5:17" hidden="1" outlineLevel="2">
      <c r="E383" s="20"/>
      <c r="F383" s="21"/>
      <c r="G383" s="22"/>
      <c r="H383" s="30" t="s">
        <v>2880</v>
      </c>
      <c r="I383" s="35"/>
      <c r="J383" s="41"/>
      <c r="K383" s="33">
        <v>14.16</v>
      </c>
      <c r="L383" s="41"/>
      <c r="M383" s="33"/>
      <c r="N383" s="33"/>
      <c r="O383" s="58">
        <f t="shared" si="15"/>
        <v>14.16</v>
      </c>
      <c r="P383" s="185"/>
      <c r="Q383" s="185"/>
    </row>
    <row r="384" spans="5:17" hidden="1" outlineLevel="2">
      <c r="E384" s="20"/>
      <c r="F384" s="21"/>
      <c r="G384" s="22"/>
      <c r="H384" s="30" t="str">
        <f>_xlfn.CONCAT(H383," - VÃO")</f>
        <v>COPA - VÃO</v>
      </c>
      <c r="I384" s="35"/>
      <c r="J384" s="41">
        <v>-1</v>
      </c>
      <c r="K384" s="33"/>
      <c r="L384" s="41"/>
      <c r="M384" s="33">
        <v>0.4</v>
      </c>
      <c r="N384" s="33">
        <v>0.9</v>
      </c>
      <c r="O384" s="58">
        <f t="shared" si="15"/>
        <v>-0.36</v>
      </c>
      <c r="P384" s="185"/>
      <c r="Q384" s="185"/>
    </row>
    <row r="385" spans="5:17" hidden="1" outlineLevel="2">
      <c r="E385" s="20"/>
      <c r="F385" s="21"/>
      <c r="G385" s="22"/>
      <c r="H385" s="30" t="s">
        <v>2902</v>
      </c>
      <c r="I385" s="35"/>
      <c r="J385" s="41"/>
      <c r="K385" s="33">
        <v>7.1</v>
      </c>
      <c r="L385" s="41"/>
      <c r="M385" s="33"/>
      <c r="N385" s="33"/>
      <c r="O385" s="58">
        <f t="shared" si="15"/>
        <v>7.1</v>
      </c>
      <c r="P385" s="185"/>
      <c r="Q385" s="185"/>
    </row>
    <row r="386" spans="5:17" hidden="1" outlineLevel="2">
      <c r="E386" s="20"/>
      <c r="F386" s="21"/>
      <c r="G386" s="22"/>
      <c r="H386" s="30" t="str">
        <f>_xlfn.CONCAT(H385," - VÃO")</f>
        <v>WC PCD FEM. - VÃO</v>
      </c>
      <c r="I386" s="35"/>
      <c r="J386" s="41">
        <v>-1</v>
      </c>
      <c r="K386" s="33"/>
      <c r="L386" s="41"/>
      <c r="M386" s="33">
        <v>0.4</v>
      </c>
      <c r="N386" s="33">
        <v>0.9</v>
      </c>
      <c r="O386" s="58">
        <f t="shared" si="15"/>
        <v>-0.36</v>
      </c>
      <c r="P386" s="185"/>
      <c r="Q386" s="185"/>
    </row>
    <row r="387" spans="5:17" hidden="1" outlineLevel="2">
      <c r="E387" s="20"/>
      <c r="F387" s="21"/>
      <c r="G387" s="22"/>
      <c r="H387" s="30" t="s">
        <v>2903</v>
      </c>
      <c r="I387" s="35"/>
      <c r="J387" s="41"/>
      <c r="K387" s="33">
        <v>7.1</v>
      </c>
      <c r="L387" s="41"/>
      <c r="M387" s="33"/>
      <c r="N387" s="33"/>
      <c r="O387" s="58">
        <f t="shared" si="15"/>
        <v>7.1</v>
      </c>
      <c r="P387" s="185"/>
      <c r="Q387" s="185"/>
    </row>
    <row r="388" spans="5:17" hidden="1" outlineLevel="2">
      <c r="E388" s="20"/>
      <c r="F388" s="21"/>
      <c r="G388" s="22"/>
      <c r="H388" s="30" t="str">
        <f>_xlfn.CONCAT(H387," - VÃO")</f>
        <v>WC PCD MASC. - VÃO</v>
      </c>
      <c r="I388" s="35"/>
      <c r="J388" s="41">
        <v>-1</v>
      </c>
      <c r="K388" s="33"/>
      <c r="L388" s="41"/>
      <c r="M388" s="33">
        <v>0.4</v>
      </c>
      <c r="N388" s="33">
        <v>0.9</v>
      </c>
      <c r="O388" s="58">
        <f t="shared" si="15"/>
        <v>-0.36</v>
      </c>
      <c r="P388" s="185"/>
      <c r="Q388" s="185"/>
    </row>
    <row r="389" spans="5:17" hidden="1" outlineLevel="2">
      <c r="E389" s="20"/>
      <c r="F389" s="21"/>
      <c r="G389" s="22"/>
      <c r="H389" s="30" t="s">
        <v>2975</v>
      </c>
      <c r="I389" s="35"/>
      <c r="J389" s="41"/>
      <c r="K389" s="33">
        <v>17.12</v>
      </c>
      <c r="L389" s="41"/>
      <c r="M389" s="33"/>
      <c r="N389" s="33"/>
      <c r="O389" s="58">
        <f t="shared" si="15"/>
        <v>17.12</v>
      </c>
      <c r="P389" s="185"/>
      <c r="Q389" s="185"/>
    </row>
    <row r="390" spans="5:17" hidden="1" outlineLevel="2">
      <c r="E390" s="20"/>
      <c r="F390" s="21"/>
      <c r="G390" s="22"/>
      <c r="H390" s="30" t="str">
        <f>_xlfn.CONCAT(H389," - VÃO")</f>
        <v>WC FEM. - VÃO</v>
      </c>
      <c r="I390" s="35"/>
      <c r="J390" s="41">
        <v>-1</v>
      </c>
      <c r="K390" s="33"/>
      <c r="L390" s="41"/>
      <c r="M390" s="33">
        <v>0.4</v>
      </c>
      <c r="N390" s="33">
        <v>0.9</v>
      </c>
      <c r="O390" s="58">
        <f t="shared" si="15"/>
        <v>-0.36</v>
      </c>
      <c r="P390" s="185"/>
      <c r="Q390" s="185"/>
    </row>
    <row r="391" spans="5:17" hidden="1" outlineLevel="2">
      <c r="E391" s="20"/>
      <c r="F391" s="21"/>
      <c r="G391" s="22"/>
      <c r="H391" s="30" t="s">
        <v>2976</v>
      </c>
      <c r="I391" s="35"/>
      <c r="J391" s="41"/>
      <c r="K391" s="33">
        <v>17.12</v>
      </c>
      <c r="L391" s="41"/>
      <c r="M391" s="33"/>
      <c r="N391" s="33"/>
      <c r="O391" s="58">
        <f t="shared" si="15"/>
        <v>17.12</v>
      </c>
      <c r="P391" s="185"/>
      <c r="Q391" s="185"/>
    </row>
    <row r="392" spans="5:17" hidden="1" outlineLevel="2">
      <c r="E392" s="20"/>
      <c r="F392" s="21"/>
      <c r="G392" s="22"/>
      <c r="H392" s="30" t="str">
        <f>_xlfn.CONCAT(H391," - VÃO")</f>
        <v>WC MASC. - VÃO</v>
      </c>
      <c r="I392" s="35"/>
      <c r="J392" s="41">
        <v>-1</v>
      </c>
      <c r="K392" s="33"/>
      <c r="L392" s="41"/>
      <c r="M392" s="33">
        <v>0.4</v>
      </c>
      <c r="N392" s="33">
        <v>0.9</v>
      </c>
      <c r="O392" s="58">
        <f t="shared" si="15"/>
        <v>-0.36</v>
      </c>
      <c r="P392" s="185"/>
      <c r="Q392" s="185"/>
    </row>
    <row r="393" spans="5:17" hidden="1" outlineLevel="2">
      <c r="E393" s="20"/>
      <c r="F393" s="21"/>
      <c r="G393" s="22"/>
      <c r="H393" s="30" t="s">
        <v>2977</v>
      </c>
      <c r="I393" s="35"/>
      <c r="J393" s="41"/>
      <c r="K393" s="33">
        <v>5.57</v>
      </c>
      <c r="L393" s="41"/>
      <c r="M393" s="33"/>
      <c r="N393" s="33"/>
      <c r="O393" s="58">
        <f t="shared" si="15"/>
        <v>5.57</v>
      </c>
      <c r="P393" s="185"/>
      <c r="Q393" s="185"/>
    </row>
    <row r="394" spans="5:17" hidden="1" outlineLevel="2">
      <c r="E394" s="20"/>
      <c r="F394" s="21"/>
      <c r="G394" s="22"/>
      <c r="H394" s="30" t="str">
        <f>_xlfn.CONCAT(H393," - VÃO")</f>
        <v>WC AUDITÓRIO - VÃO</v>
      </c>
      <c r="I394" s="35"/>
      <c r="J394" s="41">
        <v>-1</v>
      </c>
      <c r="K394" s="33"/>
      <c r="L394" s="41"/>
      <c r="M394" s="33">
        <v>0.4</v>
      </c>
      <c r="N394" s="33">
        <v>0.9</v>
      </c>
      <c r="O394" s="58">
        <f t="shared" si="15"/>
        <v>-0.36</v>
      </c>
      <c r="P394" s="185"/>
      <c r="Q394" s="185"/>
    </row>
    <row r="395" spans="5:17" hidden="1" outlineLevel="2">
      <c r="E395" s="20"/>
      <c r="F395" s="21"/>
      <c r="G395" s="22"/>
      <c r="H395" s="30" t="s">
        <v>2978</v>
      </c>
      <c r="I395" s="35"/>
      <c r="J395" s="41"/>
      <c r="K395" s="33">
        <v>10.84</v>
      </c>
      <c r="L395" s="41"/>
      <c r="M395" s="33"/>
      <c r="N395" s="33"/>
      <c r="O395" s="58">
        <f t="shared" si="15"/>
        <v>10.84</v>
      </c>
      <c r="P395" s="185"/>
      <c r="Q395" s="185"/>
    </row>
    <row r="396" spans="5:17" hidden="1" outlineLevel="2">
      <c r="E396" s="20"/>
      <c r="F396" s="21"/>
      <c r="G396" s="22"/>
      <c r="H396" s="30" t="str">
        <f>_xlfn.CONCAT(H395," - VÃO")</f>
        <v>WC FEM. AUDITÓRIO - VÃO</v>
      </c>
      <c r="I396" s="35"/>
      <c r="J396" s="41">
        <v>-1</v>
      </c>
      <c r="K396" s="33"/>
      <c r="L396" s="41"/>
      <c r="M396" s="33">
        <v>0.4</v>
      </c>
      <c r="N396" s="33">
        <v>0.9</v>
      </c>
      <c r="O396" s="58">
        <f t="shared" si="15"/>
        <v>-0.36</v>
      </c>
      <c r="P396" s="185"/>
      <c r="Q396" s="185"/>
    </row>
    <row r="397" spans="5:17" hidden="1" outlineLevel="2">
      <c r="E397" s="20"/>
      <c r="F397" s="21"/>
      <c r="G397" s="22"/>
      <c r="H397" s="30" t="s">
        <v>2979</v>
      </c>
      <c r="I397" s="35"/>
      <c r="J397" s="41"/>
      <c r="K397" s="33">
        <v>8.0299999999999994</v>
      </c>
      <c r="L397" s="41"/>
      <c r="M397" s="33"/>
      <c r="N397" s="33"/>
      <c r="O397" s="58">
        <f t="shared" si="15"/>
        <v>8.0299999999999994</v>
      </c>
      <c r="P397" s="185"/>
      <c r="Q397" s="185"/>
    </row>
    <row r="398" spans="5:17" hidden="1" outlineLevel="2">
      <c r="E398" s="20"/>
      <c r="F398" s="21"/>
      <c r="G398" s="22"/>
      <c r="H398" s="30" t="str">
        <f>_xlfn.CONCAT(H397," - VÃO")</f>
        <v>WC PCD. AUDITÓRIO - VÃO</v>
      </c>
      <c r="I398" s="35"/>
      <c r="J398" s="41">
        <v>-1</v>
      </c>
      <c r="K398" s="33"/>
      <c r="L398" s="41"/>
      <c r="M398" s="33">
        <v>0.4</v>
      </c>
      <c r="N398" s="33">
        <v>0.9</v>
      </c>
      <c r="O398" s="58">
        <f t="shared" si="15"/>
        <v>-0.36</v>
      </c>
      <c r="P398" s="185"/>
      <c r="Q398" s="185"/>
    </row>
    <row r="399" spans="5:17" hidden="1" outlineLevel="2">
      <c r="E399" s="20"/>
      <c r="F399" s="21"/>
      <c r="G399" s="22"/>
      <c r="H399" s="30" t="s">
        <v>2980</v>
      </c>
      <c r="I399" s="35"/>
      <c r="J399" s="41"/>
      <c r="K399" s="33">
        <v>10.84</v>
      </c>
      <c r="L399" s="41"/>
      <c r="M399" s="33"/>
      <c r="N399" s="33"/>
      <c r="O399" s="58">
        <f t="shared" si="15"/>
        <v>10.84</v>
      </c>
      <c r="P399" s="185"/>
      <c r="Q399" s="185"/>
    </row>
    <row r="400" spans="5:17" hidden="1" outlineLevel="2">
      <c r="E400" s="20"/>
      <c r="F400" s="21"/>
      <c r="G400" s="22"/>
      <c r="H400" s="30" t="str">
        <f>_xlfn.CONCAT(H399," - VÃO")</f>
        <v>WC MASC. AUDITÓRIO - VÃO</v>
      </c>
      <c r="I400" s="35"/>
      <c r="J400" s="41">
        <v>-1</v>
      </c>
      <c r="K400" s="33"/>
      <c r="L400" s="41"/>
      <c r="M400" s="33">
        <v>0.4</v>
      </c>
      <c r="N400" s="33">
        <v>0.9</v>
      </c>
      <c r="O400" s="58">
        <f t="shared" si="15"/>
        <v>-0.36</v>
      </c>
      <c r="P400" s="185"/>
      <c r="Q400" s="185"/>
    </row>
    <row r="401" spans="1:18" ht="30" hidden="1" outlineLevel="1">
      <c r="A401" s="2">
        <v>5</v>
      </c>
      <c r="B401" s="2">
        <v>5</v>
      </c>
      <c r="C401" s="2">
        <f>C351+1</f>
        <v>3</v>
      </c>
      <c r="E401" s="20" t="str">
        <f>CONCATENATE(A401,".",B401,".",C401)</f>
        <v>5.5.3</v>
      </c>
      <c r="F401" s="21" t="s">
        <v>2986</v>
      </c>
      <c r="G401" s="22">
        <v>98563</v>
      </c>
      <c r="H401" s="23" t="s">
        <v>199</v>
      </c>
      <c r="I401" s="24" t="s">
        <v>45</v>
      </c>
      <c r="J401" s="32"/>
      <c r="K401" s="10"/>
      <c r="L401" s="32"/>
      <c r="M401" s="10"/>
      <c r="N401" s="10"/>
      <c r="O401" s="27">
        <f>SUM(O402:O403)</f>
        <v>1674.5</v>
      </c>
      <c r="P401" s="28"/>
      <c r="Q401" s="185"/>
    </row>
    <row r="402" spans="1:18" hidden="1" outlineLevel="2">
      <c r="E402" s="20"/>
      <c r="F402" s="21"/>
      <c r="G402" s="22"/>
      <c r="H402" s="30" t="s">
        <v>2971</v>
      </c>
      <c r="I402" s="35"/>
      <c r="J402" s="41"/>
      <c r="K402" s="33"/>
      <c r="L402" s="41"/>
      <c r="M402" s="33"/>
      <c r="N402" s="33">
        <v>324.68</v>
      </c>
      <c r="O402" s="58">
        <f>ROUND(PRODUCT(J402:N402),2)</f>
        <v>324.68</v>
      </c>
      <c r="P402" s="185"/>
      <c r="Q402" s="185"/>
    </row>
    <row r="403" spans="1:18" hidden="1" outlineLevel="2">
      <c r="E403" s="20"/>
      <c r="F403" s="21"/>
      <c r="G403" s="22"/>
      <c r="H403" s="30" t="s">
        <v>2972</v>
      </c>
      <c r="I403" s="35"/>
      <c r="J403" s="41"/>
      <c r="K403" s="33"/>
      <c r="L403" s="41"/>
      <c r="M403" s="33"/>
      <c r="N403" s="33">
        <v>1349.82</v>
      </c>
      <c r="O403" s="58">
        <f>ROUND(PRODUCT(J403:N403),2)</f>
        <v>1349.82</v>
      </c>
      <c r="P403" s="185"/>
      <c r="Q403" s="185"/>
    </row>
    <row r="404" spans="1:18" ht="30" hidden="1" outlineLevel="1">
      <c r="A404" s="2">
        <v>5</v>
      </c>
      <c r="B404" s="2">
        <v>5</v>
      </c>
      <c r="C404" s="2">
        <f>C401+1</f>
        <v>4</v>
      </c>
      <c r="E404" s="20" t="str">
        <f>CONCATENATE(A404,".",B404,".",C404)</f>
        <v>5.5.4</v>
      </c>
      <c r="F404" s="21" t="s">
        <v>2987</v>
      </c>
      <c r="G404" s="22">
        <v>98557</v>
      </c>
      <c r="H404" s="23" t="s">
        <v>202</v>
      </c>
      <c r="I404" s="24" t="s">
        <v>45</v>
      </c>
      <c r="J404" s="32"/>
      <c r="K404" s="10"/>
      <c r="L404" s="32"/>
      <c r="M404" s="10"/>
      <c r="N404" s="10"/>
      <c r="O404" s="103">
        <f>SUM(O405:O406)</f>
        <v>1767.85</v>
      </c>
      <c r="P404" s="28"/>
      <c r="Q404" s="185"/>
    </row>
    <row r="405" spans="1:18" hidden="1" outlineLevel="2">
      <c r="E405" s="20"/>
      <c r="F405" s="21"/>
      <c r="G405" s="22"/>
      <c r="H405" s="30" t="s">
        <v>2823</v>
      </c>
      <c r="I405" s="35"/>
      <c r="J405" s="41"/>
      <c r="K405" s="33"/>
      <c r="L405" s="41"/>
      <c r="M405" s="33"/>
      <c r="N405" s="33">
        <f>659.16+95.05</f>
        <v>754.20999999999992</v>
      </c>
      <c r="O405" s="58">
        <f>ROUND(PRODUCT(J405:N405),2)</f>
        <v>754.21</v>
      </c>
      <c r="P405" s="185"/>
      <c r="Q405" s="185"/>
    </row>
    <row r="406" spans="1:18" hidden="1" outlineLevel="2">
      <c r="E406" s="20"/>
      <c r="F406" s="21"/>
      <c r="G406" s="22"/>
      <c r="H406" s="30" t="s">
        <v>2825</v>
      </c>
      <c r="I406" s="35"/>
      <c r="J406" s="41"/>
      <c r="K406" s="33"/>
      <c r="L406" s="41"/>
      <c r="M406" s="33"/>
      <c r="N406" s="33">
        <f>861.76+151.88</f>
        <v>1013.64</v>
      </c>
      <c r="O406" s="58">
        <f>ROUND(PRODUCT(J406:N406),2)</f>
        <v>1013.64</v>
      </c>
      <c r="P406" s="28"/>
      <c r="Q406" s="185"/>
    </row>
    <row r="407" spans="1:18" ht="16.149999999999999" customHeight="1" collapsed="1">
      <c r="E407" s="52" t="s">
        <v>2988</v>
      </c>
      <c r="F407" s="53" t="s">
        <v>2988</v>
      </c>
      <c r="G407" s="13"/>
      <c r="H407" s="14" t="s">
        <v>204</v>
      </c>
      <c r="I407" s="13"/>
      <c r="J407" s="16"/>
      <c r="K407" s="17"/>
      <c r="L407" s="16"/>
      <c r="M407" s="17"/>
      <c r="N407" s="18"/>
      <c r="O407" s="13"/>
      <c r="P407" s="86"/>
      <c r="Q407" s="87"/>
      <c r="R407" s="87"/>
    </row>
    <row r="408" spans="1:18" ht="41.45" hidden="1" customHeight="1" outlineLevel="1">
      <c r="A408" s="2">
        <v>5</v>
      </c>
      <c r="B408" s="2">
        <v>6</v>
      </c>
      <c r="C408" s="2">
        <v>1</v>
      </c>
      <c r="E408" s="20" t="str">
        <f>CONCATENATE(A408,".",B408,".",C408)</f>
        <v>5.6.1</v>
      </c>
      <c r="F408" s="21" t="s">
        <v>2989</v>
      </c>
      <c r="G408" s="22">
        <v>97084</v>
      </c>
      <c r="H408" s="23" t="s">
        <v>207</v>
      </c>
      <c r="I408" s="22" t="s">
        <v>45</v>
      </c>
      <c r="J408" s="32"/>
      <c r="K408" s="10"/>
      <c r="L408" s="32"/>
      <c r="M408" s="10"/>
      <c r="N408" s="33"/>
      <c r="O408" s="27">
        <f>SUM(O409:O451)</f>
        <v>1492.9699999999996</v>
      </c>
      <c r="P408" s="86"/>
      <c r="Q408" s="87"/>
      <c r="R408" s="87"/>
    </row>
    <row r="409" spans="1:18" hidden="1" outlineLevel="1">
      <c r="E409" s="20"/>
      <c r="F409" s="21"/>
      <c r="G409" s="22"/>
      <c r="H409" s="30" t="s">
        <v>2874</v>
      </c>
      <c r="I409" s="22">
        <v>47.95</v>
      </c>
      <c r="J409" s="32"/>
      <c r="K409" s="10"/>
      <c r="L409" s="32"/>
      <c r="M409" s="10"/>
      <c r="N409" s="33">
        <f>I409</f>
        <v>47.95</v>
      </c>
      <c r="O409" s="58">
        <f t="shared" ref="O409:O441" si="16">ROUND(PRODUCT(J409:N409),2)</f>
        <v>47.95</v>
      </c>
      <c r="P409" s="185"/>
      <c r="Q409" s="185"/>
    </row>
    <row r="410" spans="1:18" hidden="1" outlineLevel="1">
      <c r="E410" s="20"/>
      <c r="F410" s="21"/>
      <c r="G410" s="22"/>
      <c r="H410" s="30" t="s">
        <v>2990</v>
      </c>
      <c r="I410" s="22">
        <v>5.15</v>
      </c>
      <c r="J410" s="32"/>
      <c r="K410" s="10"/>
      <c r="L410" s="32"/>
      <c r="M410" s="10"/>
      <c r="N410" s="33">
        <f t="shared" ref="N410:N441" si="17">I410</f>
        <v>5.15</v>
      </c>
      <c r="O410" s="58">
        <f t="shared" si="16"/>
        <v>5.15</v>
      </c>
      <c r="P410" s="185"/>
      <c r="Q410" s="185"/>
    </row>
    <row r="411" spans="1:18" hidden="1" outlineLevel="1">
      <c r="E411" s="20"/>
      <c r="F411" s="21"/>
      <c r="G411" s="22"/>
      <c r="H411" s="30" t="s">
        <v>2991</v>
      </c>
      <c r="I411" s="22">
        <v>8.39</v>
      </c>
      <c r="J411" s="32"/>
      <c r="K411" s="10"/>
      <c r="L411" s="32"/>
      <c r="M411" s="10"/>
      <c r="N411" s="33">
        <f t="shared" si="17"/>
        <v>8.39</v>
      </c>
      <c r="O411" s="58">
        <f t="shared" si="16"/>
        <v>8.39</v>
      </c>
      <c r="P411" s="185"/>
      <c r="Q411" s="185"/>
    </row>
    <row r="412" spans="1:18" hidden="1" outlineLevel="1">
      <c r="E412" s="20"/>
      <c r="F412" s="21"/>
      <c r="G412" s="22"/>
      <c r="H412" s="30" t="s">
        <v>2875</v>
      </c>
      <c r="I412" s="22">
        <v>13.57</v>
      </c>
      <c r="J412" s="32"/>
      <c r="K412" s="10"/>
      <c r="L412" s="32"/>
      <c r="M412" s="10"/>
      <c r="N412" s="33">
        <f t="shared" si="17"/>
        <v>13.57</v>
      </c>
      <c r="O412" s="58">
        <f t="shared" si="16"/>
        <v>13.57</v>
      </c>
      <c r="P412" s="185"/>
      <c r="Q412" s="185"/>
    </row>
    <row r="413" spans="1:18" hidden="1" outlineLevel="1">
      <c r="E413" s="20"/>
      <c r="F413" s="21"/>
      <c r="G413" s="22"/>
      <c r="H413" s="30" t="s">
        <v>2876</v>
      </c>
      <c r="I413" s="22">
        <v>13.57</v>
      </c>
      <c r="J413" s="32"/>
      <c r="K413" s="10"/>
      <c r="L413" s="32"/>
      <c r="M413" s="10"/>
      <c r="N413" s="33">
        <f t="shared" si="17"/>
        <v>13.57</v>
      </c>
      <c r="O413" s="58">
        <f t="shared" si="16"/>
        <v>13.57</v>
      </c>
      <c r="P413" s="185"/>
      <c r="Q413" s="185"/>
    </row>
    <row r="414" spans="1:18" hidden="1" outlineLevel="1">
      <c r="E414" s="20"/>
      <c r="F414" s="21"/>
      <c r="G414" s="22"/>
      <c r="H414" s="30" t="s">
        <v>2992</v>
      </c>
      <c r="I414" s="22">
        <v>5.44</v>
      </c>
      <c r="J414" s="32"/>
      <c r="K414" s="10"/>
      <c r="L414" s="32"/>
      <c r="M414" s="10"/>
      <c r="N414" s="33">
        <f t="shared" si="17"/>
        <v>5.44</v>
      </c>
      <c r="O414" s="58">
        <f t="shared" si="16"/>
        <v>5.44</v>
      </c>
      <c r="P414" s="185"/>
      <c r="Q414" s="185"/>
    </row>
    <row r="415" spans="1:18" hidden="1" outlineLevel="1">
      <c r="E415" s="20"/>
      <c r="F415" s="21"/>
      <c r="G415" s="22"/>
      <c r="H415" s="30" t="s">
        <v>2993</v>
      </c>
      <c r="I415" s="22">
        <f>2.4*2.4</f>
        <v>5.76</v>
      </c>
      <c r="J415" s="32"/>
      <c r="K415" s="10"/>
      <c r="L415" s="32"/>
      <c r="M415" s="10"/>
      <c r="N415" s="33">
        <f t="shared" si="17"/>
        <v>5.76</v>
      </c>
      <c r="O415" s="58">
        <f t="shared" si="16"/>
        <v>5.76</v>
      </c>
      <c r="P415" s="185"/>
      <c r="Q415" s="185"/>
    </row>
    <row r="416" spans="1:18" hidden="1" outlineLevel="1">
      <c r="E416" s="20"/>
      <c r="F416" s="21"/>
      <c r="G416" s="22"/>
      <c r="H416" s="30" t="s">
        <v>2882</v>
      </c>
      <c r="I416" s="22">
        <v>18.07</v>
      </c>
      <c r="J416" s="32"/>
      <c r="K416" s="10"/>
      <c r="L416" s="32"/>
      <c r="M416" s="10"/>
      <c r="N416" s="33">
        <f t="shared" si="17"/>
        <v>18.07</v>
      </c>
      <c r="O416" s="58">
        <f t="shared" si="16"/>
        <v>18.07</v>
      </c>
      <c r="P416" s="185"/>
      <c r="Q416" s="185"/>
    </row>
    <row r="417" spans="5:17" hidden="1" outlineLevel="1">
      <c r="E417" s="20"/>
      <c r="F417" s="21"/>
      <c r="G417" s="22"/>
      <c r="H417" s="30" t="s">
        <v>2994</v>
      </c>
      <c r="I417" s="22">
        <v>3.43</v>
      </c>
      <c r="J417" s="32"/>
      <c r="K417" s="10"/>
      <c r="L417" s="32"/>
      <c r="M417" s="10"/>
      <c r="N417" s="33">
        <f t="shared" si="17"/>
        <v>3.43</v>
      </c>
      <c r="O417" s="58">
        <f t="shared" si="16"/>
        <v>3.43</v>
      </c>
      <c r="P417" s="185"/>
      <c r="Q417" s="185"/>
    </row>
    <row r="418" spans="5:17" hidden="1" outlineLevel="1">
      <c r="E418" s="20"/>
      <c r="F418" s="21"/>
      <c r="G418" s="22"/>
      <c r="H418" s="30" t="s">
        <v>2995</v>
      </c>
      <c r="I418" s="22">
        <v>3.43</v>
      </c>
      <c r="J418" s="32"/>
      <c r="K418" s="10"/>
      <c r="L418" s="32"/>
      <c r="M418" s="10"/>
      <c r="N418" s="33">
        <f t="shared" si="17"/>
        <v>3.43</v>
      </c>
      <c r="O418" s="58">
        <f t="shared" si="16"/>
        <v>3.43</v>
      </c>
      <c r="P418" s="185"/>
      <c r="Q418" s="185"/>
    </row>
    <row r="419" spans="5:17" hidden="1" outlineLevel="1">
      <c r="E419" s="20"/>
      <c r="F419" s="21"/>
      <c r="G419" s="22"/>
      <c r="H419" s="30" t="s">
        <v>2880</v>
      </c>
      <c r="I419" s="22">
        <v>10.42</v>
      </c>
      <c r="J419" s="32"/>
      <c r="K419" s="10"/>
      <c r="L419" s="32"/>
      <c r="M419" s="10"/>
      <c r="N419" s="33">
        <f t="shared" si="17"/>
        <v>10.42</v>
      </c>
      <c r="O419" s="58">
        <f t="shared" si="16"/>
        <v>10.42</v>
      </c>
      <c r="P419" s="185"/>
      <c r="Q419" s="185"/>
    </row>
    <row r="420" spans="5:17" hidden="1" outlineLevel="1">
      <c r="E420" s="20"/>
      <c r="F420" s="21"/>
      <c r="G420" s="22"/>
      <c r="H420" s="30" t="s">
        <v>2996</v>
      </c>
      <c r="I420" s="22">
        <v>14.66</v>
      </c>
      <c r="J420" s="32"/>
      <c r="K420" s="10"/>
      <c r="L420" s="32"/>
      <c r="M420" s="10"/>
      <c r="N420" s="33">
        <f t="shared" si="17"/>
        <v>14.66</v>
      </c>
      <c r="O420" s="58">
        <f t="shared" si="16"/>
        <v>14.66</v>
      </c>
      <c r="P420" s="185"/>
      <c r="Q420" s="185"/>
    </row>
    <row r="421" spans="5:17" hidden="1" outlineLevel="1">
      <c r="E421" s="20"/>
      <c r="F421" s="21"/>
      <c r="G421" s="22"/>
      <c r="H421" s="30" t="s">
        <v>2883</v>
      </c>
      <c r="I421" s="22">
        <v>35.51</v>
      </c>
      <c r="J421" s="32"/>
      <c r="K421" s="10"/>
      <c r="L421" s="32"/>
      <c r="M421" s="10"/>
      <c r="N421" s="33">
        <f t="shared" si="17"/>
        <v>35.51</v>
      </c>
      <c r="O421" s="58">
        <f t="shared" si="16"/>
        <v>35.51</v>
      </c>
      <c r="P421" s="185"/>
      <c r="Q421" s="185"/>
    </row>
    <row r="422" spans="5:17" hidden="1" outlineLevel="1">
      <c r="E422" s="20"/>
      <c r="F422" s="21"/>
      <c r="G422" s="22"/>
      <c r="H422" s="30" t="s">
        <v>2997</v>
      </c>
      <c r="I422" s="22">
        <v>17.36</v>
      </c>
      <c r="J422" s="32"/>
      <c r="K422" s="10"/>
      <c r="L422" s="32"/>
      <c r="M422" s="10"/>
      <c r="N422" s="33">
        <f t="shared" si="17"/>
        <v>17.36</v>
      </c>
      <c r="O422" s="58">
        <f t="shared" si="16"/>
        <v>17.36</v>
      </c>
      <c r="P422" s="185"/>
      <c r="Q422" s="185"/>
    </row>
    <row r="423" spans="5:17" hidden="1" outlineLevel="1">
      <c r="E423" s="20"/>
      <c r="F423" s="21"/>
      <c r="G423" s="22"/>
      <c r="H423" s="30" t="s">
        <v>2998</v>
      </c>
      <c r="I423" s="22">
        <v>60.62</v>
      </c>
      <c r="J423" s="32"/>
      <c r="K423" s="10"/>
      <c r="L423" s="32"/>
      <c r="M423" s="10"/>
      <c r="N423" s="33">
        <f t="shared" si="17"/>
        <v>60.62</v>
      </c>
      <c r="O423" s="58">
        <f t="shared" si="16"/>
        <v>60.62</v>
      </c>
      <c r="P423" s="185"/>
      <c r="Q423" s="185"/>
    </row>
    <row r="424" spans="5:17" hidden="1" outlineLevel="1">
      <c r="E424" s="20"/>
      <c r="F424" s="21"/>
      <c r="G424" s="22"/>
      <c r="H424" s="30" t="s">
        <v>2886</v>
      </c>
      <c r="I424" s="22">
        <v>60.62</v>
      </c>
      <c r="J424" s="32"/>
      <c r="K424" s="10"/>
      <c r="L424" s="32"/>
      <c r="M424" s="10"/>
      <c r="N424" s="33">
        <f t="shared" si="17"/>
        <v>60.62</v>
      </c>
      <c r="O424" s="58">
        <f t="shared" si="16"/>
        <v>60.62</v>
      </c>
      <c r="P424" s="185"/>
      <c r="Q424" s="185"/>
    </row>
    <row r="425" spans="5:17" hidden="1" outlineLevel="1">
      <c r="E425" s="20"/>
      <c r="F425" s="21"/>
      <c r="G425" s="22"/>
      <c r="H425" s="30" t="s">
        <v>2887</v>
      </c>
      <c r="I425" s="22">
        <v>16.100000000000001</v>
      </c>
      <c r="J425" s="32"/>
      <c r="K425" s="10"/>
      <c r="L425" s="32"/>
      <c r="M425" s="10"/>
      <c r="N425" s="33">
        <f t="shared" si="17"/>
        <v>16.100000000000001</v>
      </c>
      <c r="O425" s="58">
        <f t="shared" si="16"/>
        <v>16.100000000000001</v>
      </c>
      <c r="P425" s="185"/>
      <c r="Q425" s="185"/>
    </row>
    <row r="426" spans="5:17" hidden="1" outlineLevel="1">
      <c r="E426" s="20"/>
      <c r="F426" s="21"/>
      <c r="G426" s="22"/>
      <c r="H426" s="30" t="s">
        <v>2999</v>
      </c>
      <c r="I426" s="22">
        <v>413.1</v>
      </c>
      <c r="J426" s="32"/>
      <c r="K426" s="10"/>
      <c r="L426" s="32"/>
      <c r="M426" s="10"/>
      <c r="N426" s="33">
        <f t="shared" si="17"/>
        <v>413.1</v>
      </c>
      <c r="O426" s="104">
        <f t="shared" si="16"/>
        <v>413.1</v>
      </c>
      <c r="P426" s="185"/>
      <c r="Q426" s="185"/>
    </row>
    <row r="427" spans="5:17" hidden="1" outlineLevel="1">
      <c r="E427" s="20"/>
      <c r="F427" s="21"/>
      <c r="G427" s="22"/>
      <c r="H427" s="30" t="s">
        <v>3000</v>
      </c>
      <c r="I427" s="22">
        <v>60.62</v>
      </c>
      <c r="J427" s="32"/>
      <c r="K427" s="10"/>
      <c r="L427" s="32"/>
      <c r="M427" s="10"/>
      <c r="N427" s="33">
        <f t="shared" si="17"/>
        <v>60.62</v>
      </c>
      <c r="O427" s="58">
        <f t="shared" si="16"/>
        <v>60.62</v>
      </c>
      <c r="P427" s="185"/>
      <c r="Q427" s="185"/>
    </row>
    <row r="428" spans="5:17" hidden="1" outlineLevel="1">
      <c r="E428" s="20"/>
      <c r="F428" s="21"/>
      <c r="G428" s="22"/>
      <c r="H428" s="30" t="s">
        <v>3001</v>
      </c>
      <c r="I428" s="22">
        <v>11.6</v>
      </c>
      <c r="J428" s="32"/>
      <c r="K428" s="10"/>
      <c r="L428" s="32"/>
      <c r="M428" s="10"/>
      <c r="N428" s="33">
        <f t="shared" si="17"/>
        <v>11.6</v>
      </c>
      <c r="O428" s="58">
        <f t="shared" si="16"/>
        <v>11.6</v>
      </c>
      <c r="P428" s="185"/>
      <c r="Q428" s="185"/>
    </row>
    <row r="429" spans="5:17" hidden="1" outlineLevel="1">
      <c r="E429" s="20"/>
      <c r="F429" s="21"/>
      <c r="G429" s="22"/>
      <c r="H429" s="30" t="s">
        <v>3002</v>
      </c>
      <c r="I429" s="22">
        <v>17.5</v>
      </c>
      <c r="J429" s="32"/>
      <c r="K429" s="10"/>
      <c r="L429" s="32"/>
      <c r="M429" s="10"/>
      <c r="N429" s="33">
        <f t="shared" si="17"/>
        <v>17.5</v>
      </c>
      <c r="O429" s="58">
        <f t="shared" si="16"/>
        <v>17.5</v>
      </c>
      <c r="P429" s="185"/>
      <c r="Q429" s="185"/>
    </row>
    <row r="430" spans="5:17" hidden="1" outlineLevel="1">
      <c r="E430" s="20"/>
      <c r="F430" s="21"/>
      <c r="G430" s="22"/>
      <c r="H430" s="30" t="s">
        <v>2897</v>
      </c>
      <c r="I430" s="22">
        <v>60.62</v>
      </c>
      <c r="J430" s="32"/>
      <c r="K430" s="10"/>
      <c r="L430" s="32"/>
      <c r="M430" s="10"/>
      <c r="N430" s="33">
        <f t="shared" si="17"/>
        <v>60.62</v>
      </c>
      <c r="O430" s="58">
        <f t="shared" si="16"/>
        <v>60.62</v>
      </c>
      <c r="P430" s="185"/>
      <c r="Q430" s="185"/>
    </row>
    <row r="431" spans="5:17" hidden="1" outlineLevel="1">
      <c r="E431" s="20"/>
      <c r="F431" s="21"/>
      <c r="G431" s="22"/>
      <c r="H431" s="30" t="s">
        <v>2898</v>
      </c>
      <c r="I431" s="22">
        <v>60.62</v>
      </c>
      <c r="J431" s="32"/>
      <c r="K431" s="10"/>
      <c r="L431" s="32"/>
      <c r="M431" s="10"/>
      <c r="N431" s="33">
        <f t="shared" si="17"/>
        <v>60.62</v>
      </c>
      <c r="O431" s="58">
        <f t="shared" si="16"/>
        <v>60.62</v>
      </c>
      <c r="P431" s="185"/>
      <c r="Q431" s="185"/>
    </row>
    <row r="432" spans="5:17" hidden="1" outlineLevel="1">
      <c r="E432" s="20"/>
      <c r="F432" s="21"/>
      <c r="G432" s="22"/>
      <c r="H432" s="30" t="s">
        <v>3003</v>
      </c>
      <c r="I432" s="22">
        <v>11.6</v>
      </c>
      <c r="J432" s="32"/>
      <c r="K432" s="10"/>
      <c r="L432" s="32"/>
      <c r="M432" s="10"/>
      <c r="N432" s="33">
        <f t="shared" si="17"/>
        <v>11.6</v>
      </c>
      <c r="O432" s="58">
        <f t="shared" si="16"/>
        <v>11.6</v>
      </c>
      <c r="P432" s="185"/>
      <c r="Q432" s="185"/>
    </row>
    <row r="433" spans="5:17" hidden="1" outlineLevel="1">
      <c r="E433" s="20"/>
      <c r="F433" s="21"/>
      <c r="G433" s="22"/>
      <c r="H433" s="30" t="s">
        <v>3004</v>
      </c>
      <c r="I433" s="22">
        <v>17.5</v>
      </c>
      <c r="J433" s="32"/>
      <c r="K433" s="10"/>
      <c r="L433" s="32"/>
      <c r="M433" s="10"/>
      <c r="N433" s="33">
        <f t="shared" si="17"/>
        <v>17.5</v>
      </c>
      <c r="O433" s="58">
        <f t="shared" si="16"/>
        <v>17.5</v>
      </c>
      <c r="P433" s="185"/>
      <c r="Q433" s="185"/>
    </row>
    <row r="434" spans="5:17" hidden="1" outlineLevel="1">
      <c r="E434" s="20"/>
      <c r="F434" s="21"/>
      <c r="G434" s="22"/>
      <c r="H434" s="30" t="s">
        <v>2901</v>
      </c>
      <c r="I434" s="22">
        <v>60.62</v>
      </c>
      <c r="J434" s="32"/>
      <c r="K434" s="10"/>
      <c r="L434" s="32"/>
      <c r="M434" s="10"/>
      <c r="N434" s="33">
        <f t="shared" si="17"/>
        <v>60.62</v>
      </c>
      <c r="O434" s="58">
        <f t="shared" si="16"/>
        <v>60.62</v>
      </c>
      <c r="P434" s="185"/>
      <c r="Q434" s="185"/>
    </row>
    <row r="435" spans="5:17" hidden="1" outlineLevel="1">
      <c r="E435" s="20"/>
      <c r="F435" s="21"/>
      <c r="G435" s="22"/>
      <c r="H435" s="30" t="s">
        <v>2878</v>
      </c>
      <c r="I435" s="22">
        <v>3.58</v>
      </c>
      <c r="J435" s="32"/>
      <c r="K435" s="10"/>
      <c r="L435" s="32"/>
      <c r="M435" s="10"/>
      <c r="N435" s="33">
        <f t="shared" si="17"/>
        <v>3.58</v>
      </c>
      <c r="O435" s="58">
        <f t="shared" si="16"/>
        <v>3.58</v>
      </c>
      <c r="P435" s="185"/>
      <c r="Q435" s="185"/>
    </row>
    <row r="436" spans="5:17" hidden="1" outlineLevel="1">
      <c r="E436" s="20"/>
      <c r="F436" s="21"/>
      <c r="G436" s="22"/>
      <c r="H436" s="30" t="s">
        <v>2879</v>
      </c>
      <c r="I436" s="22">
        <v>3.58</v>
      </c>
      <c r="J436" s="32"/>
      <c r="K436" s="10"/>
      <c r="L436" s="32"/>
      <c r="M436" s="10"/>
      <c r="N436" s="33">
        <f t="shared" si="17"/>
        <v>3.58</v>
      </c>
      <c r="O436" s="58">
        <f t="shared" si="16"/>
        <v>3.58</v>
      </c>
      <c r="P436" s="185"/>
      <c r="Q436" s="185"/>
    </row>
    <row r="437" spans="5:17" hidden="1" outlineLevel="1">
      <c r="E437" s="20"/>
      <c r="F437" s="21"/>
      <c r="G437" s="22"/>
      <c r="H437" s="30" t="s">
        <v>2904</v>
      </c>
      <c r="I437" s="22">
        <v>15.04</v>
      </c>
      <c r="J437" s="32"/>
      <c r="K437" s="10"/>
      <c r="L437" s="32"/>
      <c r="M437" s="10"/>
      <c r="N437" s="33">
        <f t="shared" si="17"/>
        <v>15.04</v>
      </c>
      <c r="O437" s="58">
        <f t="shared" si="16"/>
        <v>15.04</v>
      </c>
      <c r="P437" s="185"/>
      <c r="Q437" s="185"/>
    </row>
    <row r="438" spans="5:17" hidden="1" outlineLevel="1">
      <c r="E438" s="20"/>
      <c r="F438" s="21"/>
      <c r="G438" s="22"/>
      <c r="H438" s="30" t="s">
        <v>3005</v>
      </c>
      <c r="I438" s="22">
        <v>15.04</v>
      </c>
      <c r="J438" s="32"/>
      <c r="K438" s="10"/>
      <c r="L438" s="32"/>
      <c r="M438" s="10"/>
      <c r="N438" s="33">
        <f t="shared" si="17"/>
        <v>15.04</v>
      </c>
      <c r="O438" s="58">
        <f t="shared" si="16"/>
        <v>15.04</v>
      </c>
      <c r="P438" s="185"/>
      <c r="Q438" s="185"/>
    </row>
    <row r="439" spans="5:17" hidden="1" outlineLevel="1">
      <c r="E439" s="20"/>
      <c r="F439" s="21"/>
      <c r="G439" s="22"/>
      <c r="H439" s="30" t="s">
        <v>3006</v>
      </c>
      <c r="I439" s="22">
        <v>8.36</v>
      </c>
      <c r="J439" s="32"/>
      <c r="K439" s="10"/>
      <c r="L439" s="32"/>
      <c r="M439" s="10"/>
      <c r="N439" s="33">
        <f t="shared" si="17"/>
        <v>8.36</v>
      </c>
      <c r="O439" s="58">
        <f t="shared" si="16"/>
        <v>8.36</v>
      </c>
      <c r="P439" s="185"/>
      <c r="Q439" s="185"/>
    </row>
    <row r="440" spans="5:17" hidden="1" outlineLevel="1">
      <c r="E440" s="20"/>
      <c r="F440" s="21"/>
      <c r="G440" s="22"/>
      <c r="H440" s="30" t="s">
        <v>3007</v>
      </c>
      <c r="I440" s="22">
        <v>8.36</v>
      </c>
      <c r="J440" s="32"/>
      <c r="K440" s="10"/>
      <c r="L440" s="32"/>
      <c r="M440" s="10"/>
      <c r="N440" s="33">
        <f>I440</f>
        <v>8.36</v>
      </c>
      <c r="O440" s="58">
        <f>ROUND(PRODUCT(J440:N440),2)</f>
        <v>8.36</v>
      </c>
      <c r="P440" s="185"/>
      <c r="Q440" s="185"/>
    </row>
    <row r="441" spans="5:17" hidden="1" outlineLevel="1">
      <c r="E441" s="20"/>
      <c r="F441" s="21"/>
      <c r="G441" s="22"/>
      <c r="H441" s="30" t="s">
        <v>3008</v>
      </c>
      <c r="I441" s="22">
        <v>7.2</v>
      </c>
      <c r="J441" s="32"/>
      <c r="K441" s="10"/>
      <c r="L441" s="32"/>
      <c r="M441" s="10"/>
      <c r="N441" s="33">
        <f t="shared" si="17"/>
        <v>7.2</v>
      </c>
      <c r="O441" s="58">
        <f t="shared" si="16"/>
        <v>7.2</v>
      </c>
      <c r="P441" s="185"/>
      <c r="Q441" s="185"/>
    </row>
    <row r="442" spans="5:17" hidden="1" outlineLevel="1">
      <c r="E442" s="20"/>
      <c r="F442" s="21"/>
      <c r="G442" s="22"/>
      <c r="H442" s="30" t="s">
        <v>2891</v>
      </c>
      <c r="I442" s="22">
        <v>7.44</v>
      </c>
      <c r="J442" s="32"/>
      <c r="K442" s="10"/>
      <c r="L442" s="32"/>
      <c r="M442" s="10"/>
      <c r="N442" s="33">
        <f t="shared" ref="N442:N451" si="18">I442</f>
        <v>7.44</v>
      </c>
      <c r="O442" s="58">
        <f t="shared" ref="O442:O451" si="19">ROUND(PRODUCT(J442:N442),2)</f>
        <v>7.44</v>
      </c>
      <c r="P442" s="185"/>
      <c r="Q442" s="185"/>
    </row>
    <row r="443" spans="5:17" hidden="1" outlineLevel="1">
      <c r="E443" s="20"/>
      <c r="F443" s="21"/>
      <c r="G443" s="22"/>
      <c r="H443" s="30" t="s">
        <v>2893</v>
      </c>
      <c r="I443" s="22">
        <v>7.44</v>
      </c>
      <c r="J443" s="32"/>
      <c r="K443" s="10"/>
      <c r="L443" s="32"/>
      <c r="M443" s="10"/>
      <c r="N443" s="33">
        <f t="shared" si="18"/>
        <v>7.44</v>
      </c>
      <c r="O443" s="58">
        <f t="shared" si="19"/>
        <v>7.44</v>
      </c>
      <c r="P443" s="185"/>
      <c r="Q443" s="185"/>
    </row>
    <row r="444" spans="5:17" hidden="1" outlineLevel="1">
      <c r="E444" s="20"/>
      <c r="F444" s="21"/>
      <c r="G444" s="22"/>
      <c r="H444" s="30" t="s">
        <v>2906</v>
      </c>
      <c r="I444" s="22">
        <v>120.62</v>
      </c>
      <c r="J444" s="32"/>
      <c r="K444" s="10"/>
      <c r="L444" s="32"/>
      <c r="M444" s="10"/>
      <c r="N444" s="33">
        <f t="shared" si="18"/>
        <v>120.62</v>
      </c>
      <c r="O444" s="58">
        <f t="shared" si="19"/>
        <v>120.62</v>
      </c>
      <c r="P444" s="185"/>
      <c r="Q444" s="185"/>
    </row>
    <row r="445" spans="5:17" hidden="1" outlineLevel="1">
      <c r="E445" s="20"/>
      <c r="F445" s="21"/>
      <c r="G445" s="22"/>
      <c r="H445" s="30" t="s">
        <v>3009</v>
      </c>
      <c r="I445" s="22">
        <v>1.94</v>
      </c>
      <c r="J445" s="32"/>
      <c r="K445" s="10"/>
      <c r="L445" s="32"/>
      <c r="M445" s="10"/>
      <c r="N445" s="33">
        <f t="shared" si="18"/>
        <v>1.94</v>
      </c>
      <c r="O445" s="58">
        <f t="shared" si="19"/>
        <v>1.94</v>
      </c>
      <c r="P445" s="185"/>
      <c r="Q445" s="185"/>
    </row>
    <row r="446" spans="5:17" hidden="1" outlineLevel="1">
      <c r="E446" s="20"/>
      <c r="F446" s="21"/>
      <c r="G446" s="22"/>
      <c r="H446" s="30" t="s">
        <v>3010</v>
      </c>
      <c r="I446" s="22">
        <v>186</v>
      </c>
      <c r="J446" s="32"/>
      <c r="K446" s="10"/>
      <c r="L446" s="32"/>
      <c r="M446" s="10"/>
      <c r="N446" s="33">
        <f t="shared" si="18"/>
        <v>186</v>
      </c>
      <c r="O446" s="58">
        <f t="shared" si="19"/>
        <v>186</v>
      </c>
      <c r="P446" s="185"/>
      <c r="Q446" s="185"/>
    </row>
    <row r="447" spans="5:17" hidden="1" outlineLevel="1">
      <c r="E447" s="20"/>
      <c r="F447" s="21"/>
      <c r="G447" s="22"/>
      <c r="H447" s="30" t="s">
        <v>2908</v>
      </c>
      <c r="I447" s="22">
        <v>8.6999999999999993</v>
      </c>
      <c r="J447" s="32"/>
      <c r="K447" s="10"/>
      <c r="L447" s="32"/>
      <c r="M447" s="10"/>
      <c r="N447" s="33">
        <f t="shared" si="18"/>
        <v>8.6999999999999993</v>
      </c>
      <c r="O447" s="58">
        <f t="shared" si="19"/>
        <v>8.6999999999999993</v>
      </c>
      <c r="P447" s="185"/>
      <c r="Q447" s="185"/>
    </row>
    <row r="448" spans="5:17" hidden="1" outlineLevel="1">
      <c r="E448" s="20"/>
      <c r="F448" s="21"/>
      <c r="G448" s="22"/>
      <c r="H448" s="30" t="s">
        <v>3011</v>
      </c>
      <c r="I448" s="22">
        <v>30.37</v>
      </c>
      <c r="J448" s="32"/>
      <c r="K448" s="10"/>
      <c r="L448" s="32"/>
      <c r="M448" s="10"/>
      <c r="N448" s="33">
        <f t="shared" si="18"/>
        <v>30.37</v>
      </c>
      <c r="O448" s="58">
        <f t="shared" si="19"/>
        <v>30.37</v>
      </c>
      <c r="P448" s="185"/>
      <c r="Q448" s="185"/>
    </row>
    <row r="449" spans="1:17" hidden="1" outlineLevel="1">
      <c r="E449" s="20"/>
      <c r="F449" s="21"/>
      <c r="G449" s="22"/>
      <c r="H449" s="30" t="s">
        <v>3012</v>
      </c>
      <c r="I449" s="22">
        <v>6.07</v>
      </c>
      <c r="J449" s="32"/>
      <c r="K449" s="10"/>
      <c r="L449" s="32"/>
      <c r="M449" s="10"/>
      <c r="N449" s="33">
        <f t="shared" si="18"/>
        <v>6.07</v>
      </c>
      <c r="O449" s="58">
        <f t="shared" si="19"/>
        <v>6.07</v>
      </c>
      <c r="P449" s="185"/>
      <c r="Q449" s="185"/>
    </row>
    <row r="450" spans="1:17" hidden="1" outlineLevel="1">
      <c r="E450" s="20"/>
      <c r="F450" s="21"/>
      <c r="G450" s="22"/>
      <c r="H450" s="30" t="s">
        <v>3013</v>
      </c>
      <c r="I450" s="22">
        <v>3.33</v>
      </c>
      <c r="J450" s="32"/>
      <c r="K450" s="10"/>
      <c r="L450" s="32"/>
      <c r="M450" s="10"/>
      <c r="N450" s="33">
        <f t="shared" si="18"/>
        <v>3.33</v>
      </c>
      <c r="O450" s="58">
        <f t="shared" si="19"/>
        <v>3.33</v>
      </c>
      <c r="P450" s="185"/>
      <c r="Q450" s="185"/>
    </row>
    <row r="451" spans="1:17" hidden="1" outlineLevel="1">
      <c r="E451" s="20"/>
      <c r="F451" s="21"/>
      <c r="G451" s="22"/>
      <c r="H451" s="30" t="s">
        <v>2976</v>
      </c>
      <c r="I451" s="22">
        <v>6.07</v>
      </c>
      <c r="J451" s="32"/>
      <c r="K451" s="10"/>
      <c r="L451" s="32"/>
      <c r="M451" s="10"/>
      <c r="N451" s="33">
        <f t="shared" si="18"/>
        <v>6.07</v>
      </c>
      <c r="O451" s="58">
        <f t="shared" si="19"/>
        <v>6.07</v>
      </c>
      <c r="P451" s="185"/>
      <c r="Q451" s="185"/>
    </row>
    <row r="452" spans="1:17" ht="30" hidden="1" outlineLevel="1">
      <c r="A452" s="2">
        <v>5</v>
      </c>
      <c r="B452" s="2">
        <v>6</v>
      </c>
      <c r="C452" s="2">
        <f>1+C408</f>
        <v>2</v>
      </c>
      <c r="E452" s="20" t="str">
        <f>CONCATENATE(A452,".",B452,".",C452)</f>
        <v>5.6.2</v>
      </c>
      <c r="F452" s="21" t="s">
        <v>3014</v>
      </c>
      <c r="G452" s="22">
        <v>97087</v>
      </c>
      <c r="H452" s="23" t="s">
        <v>210</v>
      </c>
      <c r="I452" s="22" t="s">
        <v>45</v>
      </c>
      <c r="J452" s="32"/>
      <c r="K452" s="10"/>
      <c r="L452" s="32"/>
      <c r="M452" s="10"/>
      <c r="N452" s="33"/>
      <c r="O452" s="27">
        <f>SUM(O454:O496)</f>
        <v>1492.9699999999996</v>
      </c>
      <c r="P452" s="185"/>
      <c r="Q452" s="185"/>
    </row>
    <row r="453" spans="1:17" hidden="1" outlineLevel="1">
      <c r="E453" s="20"/>
      <c r="F453" s="21"/>
      <c r="G453" s="22"/>
      <c r="H453" s="24" t="s">
        <v>2873</v>
      </c>
      <c r="I453" s="22"/>
      <c r="J453" s="32"/>
      <c r="K453" s="10"/>
      <c r="L453" s="32"/>
      <c r="M453" s="10"/>
      <c r="N453" s="33"/>
      <c r="O453" s="27"/>
      <c r="P453" s="185"/>
      <c r="Q453" s="185"/>
    </row>
    <row r="454" spans="1:17" hidden="1" outlineLevel="1">
      <c r="E454" s="20"/>
      <c r="F454" s="21"/>
      <c r="G454" s="22"/>
      <c r="H454" s="30" t="s">
        <v>2874</v>
      </c>
      <c r="I454" s="22">
        <v>47.95</v>
      </c>
      <c r="J454" s="32"/>
      <c r="K454" s="10"/>
      <c r="L454" s="32"/>
      <c r="M454" s="10"/>
      <c r="N454" s="33">
        <f>I454</f>
        <v>47.95</v>
      </c>
      <c r="O454" s="58">
        <f t="shared" ref="O454:O496" si="20">ROUND(PRODUCT(J454:N454),2)</f>
        <v>47.95</v>
      </c>
      <c r="P454" s="185"/>
      <c r="Q454" s="185"/>
    </row>
    <row r="455" spans="1:17" hidden="1" outlineLevel="1">
      <c r="E455" s="20"/>
      <c r="F455" s="21"/>
      <c r="G455" s="22"/>
      <c r="H455" s="30" t="s">
        <v>2990</v>
      </c>
      <c r="I455" s="22">
        <v>5.15</v>
      </c>
      <c r="J455" s="32"/>
      <c r="K455" s="10"/>
      <c r="L455" s="32"/>
      <c r="M455" s="10"/>
      <c r="N455" s="33">
        <f t="shared" ref="N455:N496" si="21">I455</f>
        <v>5.15</v>
      </c>
      <c r="O455" s="58">
        <f t="shared" si="20"/>
        <v>5.15</v>
      </c>
      <c r="P455" s="185"/>
      <c r="Q455" s="185"/>
    </row>
    <row r="456" spans="1:17" hidden="1" outlineLevel="1">
      <c r="E456" s="20"/>
      <c r="F456" s="21"/>
      <c r="G456" s="22"/>
      <c r="H456" s="30" t="s">
        <v>2991</v>
      </c>
      <c r="I456" s="22">
        <v>8.39</v>
      </c>
      <c r="J456" s="32"/>
      <c r="K456" s="10"/>
      <c r="L456" s="32"/>
      <c r="M456" s="10"/>
      <c r="N456" s="33">
        <f t="shared" si="21"/>
        <v>8.39</v>
      </c>
      <c r="O456" s="58">
        <f t="shared" si="20"/>
        <v>8.39</v>
      </c>
      <c r="P456" s="185"/>
      <c r="Q456" s="185"/>
    </row>
    <row r="457" spans="1:17" hidden="1" outlineLevel="1">
      <c r="E457" s="20"/>
      <c r="F457" s="21"/>
      <c r="G457" s="22"/>
      <c r="H457" s="30" t="s">
        <v>2875</v>
      </c>
      <c r="I457" s="22">
        <v>13.57</v>
      </c>
      <c r="J457" s="32"/>
      <c r="K457" s="10"/>
      <c r="L457" s="32"/>
      <c r="M457" s="10"/>
      <c r="N457" s="33">
        <f t="shared" si="21"/>
        <v>13.57</v>
      </c>
      <c r="O457" s="58">
        <f t="shared" si="20"/>
        <v>13.57</v>
      </c>
      <c r="P457" s="185"/>
      <c r="Q457" s="185"/>
    </row>
    <row r="458" spans="1:17" hidden="1" outlineLevel="1">
      <c r="E458" s="20"/>
      <c r="F458" s="21"/>
      <c r="G458" s="22"/>
      <c r="H458" s="30" t="s">
        <v>2876</v>
      </c>
      <c r="I458" s="22">
        <v>13.57</v>
      </c>
      <c r="J458" s="32"/>
      <c r="K458" s="10"/>
      <c r="L458" s="32"/>
      <c r="M458" s="10"/>
      <c r="N458" s="33">
        <f t="shared" si="21"/>
        <v>13.57</v>
      </c>
      <c r="O458" s="58">
        <f t="shared" si="20"/>
        <v>13.57</v>
      </c>
      <c r="P458" s="185"/>
      <c r="Q458" s="185"/>
    </row>
    <row r="459" spans="1:17" hidden="1" outlineLevel="1">
      <c r="E459" s="20"/>
      <c r="F459" s="21"/>
      <c r="G459" s="22"/>
      <c r="H459" s="30" t="s">
        <v>2992</v>
      </c>
      <c r="I459" s="22">
        <v>5.44</v>
      </c>
      <c r="J459" s="32"/>
      <c r="K459" s="10"/>
      <c r="L459" s="32"/>
      <c r="M459" s="10"/>
      <c r="N459" s="33">
        <f t="shared" si="21"/>
        <v>5.44</v>
      </c>
      <c r="O459" s="58">
        <f t="shared" si="20"/>
        <v>5.44</v>
      </c>
      <c r="P459" s="185"/>
      <c r="Q459" s="185"/>
    </row>
    <row r="460" spans="1:17" hidden="1" outlineLevel="1">
      <c r="E460" s="20"/>
      <c r="F460" s="21"/>
      <c r="G460" s="22"/>
      <c r="H460" s="30" t="s">
        <v>3015</v>
      </c>
      <c r="I460" s="22">
        <f>2.4*2.4</f>
        <v>5.76</v>
      </c>
      <c r="J460" s="32"/>
      <c r="K460" s="10"/>
      <c r="L460" s="32"/>
      <c r="M460" s="10"/>
      <c r="N460" s="33">
        <f t="shared" si="21"/>
        <v>5.76</v>
      </c>
      <c r="O460" s="58">
        <f t="shared" si="20"/>
        <v>5.76</v>
      </c>
      <c r="P460" s="185"/>
      <c r="Q460" s="185"/>
    </row>
    <row r="461" spans="1:17" hidden="1" outlineLevel="1">
      <c r="E461" s="20"/>
      <c r="F461" s="21"/>
      <c r="G461" s="22"/>
      <c r="H461" s="30" t="s">
        <v>2882</v>
      </c>
      <c r="I461" s="22">
        <v>18.07</v>
      </c>
      <c r="J461" s="32"/>
      <c r="K461" s="10"/>
      <c r="L461" s="32"/>
      <c r="M461" s="10"/>
      <c r="N461" s="33">
        <f t="shared" si="21"/>
        <v>18.07</v>
      </c>
      <c r="O461" s="58">
        <f t="shared" si="20"/>
        <v>18.07</v>
      </c>
      <c r="P461" s="185"/>
      <c r="Q461" s="185"/>
    </row>
    <row r="462" spans="1:17" hidden="1" outlineLevel="1">
      <c r="E462" s="20"/>
      <c r="F462" s="21"/>
      <c r="G462" s="22"/>
      <c r="H462" s="30" t="s">
        <v>2994</v>
      </c>
      <c r="I462" s="22">
        <v>3.43</v>
      </c>
      <c r="J462" s="32"/>
      <c r="K462" s="10"/>
      <c r="L462" s="32"/>
      <c r="M462" s="10"/>
      <c r="N462" s="33">
        <f t="shared" si="21"/>
        <v>3.43</v>
      </c>
      <c r="O462" s="58">
        <f t="shared" si="20"/>
        <v>3.43</v>
      </c>
      <c r="P462" s="185"/>
      <c r="Q462" s="185"/>
    </row>
    <row r="463" spans="1:17" hidden="1" outlineLevel="1">
      <c r="E463" s="20"/>
      <c r="F463" s="21"/>
      <c r="G463" s="22"/>
      <c r="H463" s="30" t="s">
        <v>2995</v>
      </c>
      <c r="I463" s="22">
        <v>3.43</v>
      </c>
      <c r="J463" s="32"/>
      <c r="K463" s="10"/>
      <c r="L463" s="32"/>
      <c r="M463" s="10"/>
      <c r="N463" s="33">
        <f t="shared" si="21"/>
        <v>3.43</v>
      </c>
      <c r="O463" s="58">
        <f t="shared" si="20"/>
        <v>3.43</v>
      </c>
      <c r="P463" s="185"/>
      <c r="Q463" s="185"/>
    </row>
    <row r="464" spans="1:17" hidden="1" outlineLevel="1">
      <c r="E464" s="20"/>
      <c r="F464" s="21"/>
      <c r="G464" s="22"/>
      <c r="H464" s="30" t="s">
        <v>2880</v>
      </c>
      <c r="I464" s="22">
        <v>10.42</v>
      </c>
      <c r="J464" s="32"/>
      <c r="K464" s="10"/>
      <c r="L464" s="32"/>
      <c r="M464" s="10"/>
      <c r="N464" s="33">
        <f t="shared" si="21"/>
        <v>10.42</v>
      </c>
      <c r="O464" s="58">
        <f t="shared" si="20"/>
        <v>10.42</v>
      </c>
      <c r="P464" s="185"/>
      <c r="Q464" s="185"/>
    </row>
    <row r="465" spans="5:17" hidden="1" outlineLevel="1">
      <c r="E465" s="20"/>
      <c r="F465" s="21"/>
      <c r="G465" s="22"/>
      <c r="H465" s="30" t="s">
        <v>2996</v>
      </c>
      <c r="I465" s="22">
        <v>14.66</v>
      </c>
      <c r="J465" s="32"/>
      <c r="K465" s="10"/>
      <c r="L465" s="32"/>
      <c r="M465" s="10"/>
      <c r="N465" s="33">
        <f t="shared" si="21"/>
        <v>14.66</v>
      </c>
      <c r="O465" s="58">
        <f t="shared" si="20"/>
        <v>14.66</v>
      </c>
      <c r="P465" s="185"/>
      <c r="Q465" s="185"/>
    </row>
    <row r="466" spans="5:17" hidden="1" outlineLevel="1">
      <c r="E466" s="20"/>
      <c r="F466" s="21"/>
      <c r="G466" s="22"/>
      <c r="H466" s="30" t="s">
        <v>2883</v>
      </c>
      <c r="I466" s="22">
        <v>35.51</v>
      </c>
      <c r="J466" s="32"/>
      <c r="K466" s="10"/>
      <c r="L466" s="32"/>
      <c r="M466" s="10"/>
      <c r="N466" s="33">
        <f t="shared" si="21"/>
        <v>35.51</v>
      </c>
      <c r="O466" s="58">
        <f t="shared" si="20"/>
        <v>35.51</v>
      </c>
      <c r="P466" s="185"/>
      <c r="Q466" s="185"/>
    </row>
    <row r="467" spans="5:17" hidden="1" outlineLevel="1">
      <c r="E467" s="20"/>
      <c r="F467" s="21"/>
      <c r="G467" s="22"/>
      <c r="H467" s="30" t="s">
        <v>2997</v>
      </c>
      <c r="I467" s="22">
        <v>17.36</v>
      </c>
      <c r="J467" s="32"/>
      <c r="K467" s="10"/>
      <c r="L467" s="32"/>
      <c r="M467" s="10"/>
      <c r="N467" s="33">
        <f t="shared" si="21"/>
        <v>17.36</v>
      </c>
      <c r="O467" s="58">
        <f t="shared" si="20"/>
        <v>17.36</v>
      </c>
      <c r="P467" s="185"/>
      <c r="Q467" s="185"/>
    </row>
    <row r="468" spans="5:17" hidden="1" outlineLevel="1">
      <c r="E468" s="20"/>
      <c r="F468" s="21"/>
      <c r="G468" s="22"/>
      <c r="H468" s="30" t="s">
        <v>2998</v>
      </c>
      <c r="I468" s="22">
        <v>60.62</v>
      </c>
      <c r="J468" s="32"/>
      <c r="K468" s="10"/>
      <c r="L468" s="32"/>
      <c r="M468" s="10"/>
      <c r="N468" s="33">
        <f t="shared" si="21"/>
        <v>60.62</v>
      </c>
      <c r="O468" s="58">
        <f t="shared" si="20"/>
        <v>60.62</v>
      </c>
      <c r="P468" s="185"/>
      <c r="Q468" s="185"/>
    </row>
    <row r="469" spans="5:17" hidden="1" outlineLevel="1">
      <c r="E469" s="20"/>
      <c r="F469" s="21"/>
      <c r="G469" s="22"/>
      <c r="H469" s="30" t="s">
        <v>2886</v>
      </c>
      <c r="I469" s="22">
        <v>60.62</v>
      </c>
      <c r="J469" s="32"/>
      <c r="K469" s="10"/>
      <c r="L469" s="32"/>
      <c r="M469" s="10"/>
      <c r="N469" s="33">
        <f t="shared" si="21"/>
        <v>60.62</v>
      </c>
      <c r="O469" s="58">
        <f t="shared" si="20"/>
        <v>60.62</v>
      </c>
      <c r="P469" s="185"/>
      <c r="Q469" s="185"/>
    </row>
    <row r="470" spans="5:17" hidden="1" outlineLevel="1">
      <c r="E470" s="20"/>
      <c r="F470" s="21"/>
      <c r="G470" s="22"/>
      <c r="H470" s="30" t="s">
        <v>2887</v>
      </c>
      <c r="I470" s="22">
        <v>16.100000000000001</v>
      </c>
      <c r="J470" s="32"/>
      <c r="K470" s="10"/>
      <c r="L470" s="32"/>
      <c r="M470" s="10"/>
      <c r="N470" s="33">
        <f t="shared" si="21"/>
        <v>16.100000000000001</v>
      </c>
      <c r="O470" s="58">
        <f t="shared" si="20"/>
        <v>16.100000000000001</v>
      </c>
      <c r="P470" s="185"/>
      <c r="Q470" s="185"/>
    </row>
    <row r="471" spans="5:17" hidden="1" outlineLevel="1">
      <c r="E471" s="20"/>
      <c r="F471" s="21"/>
      <c r="G471" s="22"/>
      <c r="H471" s="30" t="s">
        <v>2999</v>
      </c>
      <c r="I471" s="22">
        <v>413.1</v>
      </c>
      <c r="J471" s="32"/>
      <c r="K471" s="10"/>
      <c r="L471" s="32"/>
      <c r="M471" s="10"/>
      <c r="N471" s="33">
        <f t="shared" si="21"/>
        <v>413.1</v>
      </c>
      <c r="O471" s="104">
        <f t="shared" si="20"/>
        <v>413.1</v>
      </c>
      <c r="P471" s="185"/>
      <c r="Q471" s="185"/>
    </row>
    <row r="472" spans="5:17" hidden="1" outlineLevel="1">
      <c r="E472" s="20"/>
      <c r="F472" s="21"/>
      <c r="G472" s="22"/>
      <c r="H472" s="30" t="s">
        <v>3000</v>
      </c>
      <c r="I472" s="22">
        <v>60.62</v>
      </c>
      <c r="J472" s="32"/>
      <c r="K472" s="10"/>
      <c r="L472" s="32"/>
      <c r="M472" s="10"/>
      <c r="N472" s="33">
        <f t="shared" si="21"/>
        <v>60.62</v>
      </c>
      <c r="O472" s="58">
        <f t="shared" si="20"/>
        <v>60.62</v>
      </c>
      <c r="P472" s="185"/>
      <c r="Q472" s="185"/>
    </row>
    <row r="473" spans="5:17" hidden="1" outlineLevel="1">
      <c r="E473" s="20"/>
      <c r="F473" s="21"/>
      <c r="G473" s="22"/>
      <c r="H473" s="30" t="s">
        <v>3001</v>
      </c>
      <c r="I473" s="22">
        <v>11.6</v>
      </c>
      <c r="J473" s="32"/>
      <c r="K473" s="10"/>
      <c r="L473" s="32"/>
      <c r="M473" s="10"/>
      <c r="N473" s="33">
        <f t="shared" si="21"/>
        <v>11.6</v>
      </c>
      <c r="O473" s="58">
        <f t="shared" si="20"/>
        <v>11.6</v>
      </c>
      <c r="P473" s="185"/>
      <c r="Q473" s="185"/>
    </row>
    <row r="474" spans="5:17" hidden="1" outlineLevel="1">
      <c r="E474" s="20"/>
      <c r="F474" s="21"/>
      <c r="G474" s="22"/>
      <c r="H474" s="30" t="s">
        <v>3002</v>
      </c>
      <c r="I474" s="22">
        <v>17.5</v>
      </c>
      <c r="J474" s="32"/>
      <c r="K474" s="10"/>
      <c r="L474" s="32"/>
      <c r="M474" s="10"/>
      <c r="N474" s="33">
        <f t="shared" si="21"/>
        <v>17.5</v>
      </c>
      <c r="O474" s="58">
        <f t="shared" si="20"/>
        <v>17.5</v>
      </c>
      <c r="P474" s="185"/>
      <c r="Q474" s="185"/>
    </row>
    <row r="475" spans="5:17" hidden="1" outlineLevel="1">
      <c r="E475" s="20"/>
      <c r="F475" s="21"/>
      <c r="G475" s="22"/>
      <c r="H475" s="30" t="s">
        <v>2897</v>
      </c>
      <c r="I475" s="22">
        <v>60.62</v>
      </c>
      <c r="J475" s="32"/>
      <c r="K475" s="10"/>
      <c r="L475" s="32"/>
      <c r="M475" s="10"/>
      <c r="N475" s="33">
        <f t="shared" si="21"/>
        <v>60.62</v>
      </c>
      <c r="O475" s="58">
        <f t="shared" si="20"/>
        <v>60.62</v>
      </c>
      <c r="P475" s="185"/>
      <c r="Q475" s="185"/>
    </row>
    <row r="476" spans="5:17" hidden="1" outlineLevel="1">
      <c r="E476" s="20"/>
      <c r="F476" s="21"/>
      <c r="G476" s="22"/>
      <c r="H476" s="30" t="s">
        <v>2898</v>
      </c>
      <c r="I476" s="22">
        <v>60.62</v>
      </c>
      <c r="J476" s="32"/>
      <c r="K476" s="10"/>
      <c r="L476" s="32"/>
      <c r="M476" s="10"/>
      <c r="N476" s="33">
        <f t="shared" si="21"/>
        <v>60.62</v>
      </c>
      <c r="O476" s="58">
        <f t="shared" si="20"/>
        <v>60.62</v>
      </c>
      <c r="P476" s="185"/>
      <c r="Q476" s="185"/>
    </row>
    <row r="477" spans="5:17" hidden="1" outlineLevel="1">
      <c r="E477" s="20"/>
      <c r="F477" s="21"/>
      <c r="G477" s="22"/>
      <c r="H477" s="30" t="s">
        <v>3003</v>
      </c>
      <c r="I477" s="22">
        <v>11.6</v>
      </c>
      <c r="J477" s="32"/>
      <c r="K477" s="10"/>
      <c r="L477" s="32"/>
      <c r="M477" s="10"/>
      <c r="N477" s="33">
        <f t="shared" si="21"/>
        <v>11.6</v>
      </c>
      <c r="O477" s="58">
        <f t="shared" si="20"/>
        <v>11.6</v>
      </c>
      <c r="P477" s="185"/>
      <c r="Q477" s="185"/>
    </row>
    <row r="478" spans="5:17" hidden="1" outlineLevel="1">
      <c r="E478" s="20"/>
      <c r="F478" s="21"/>
      <c r="G478" s="22"/>
      <c r="H478" s="30" t="s">
        <v>3004</v>
      </c>
      <c r="I478" s="22">
        <v>17.5</v>
      </c>
      <c r="J478" s="32"/>
      <c r="K478" s="10"/>
      <c r="L478" s="32"/>
      <c r="M478" s="10"/>
      <c r="N478" s="33">
        <f t="shared" si="21"/>
        <v>17.5</v>
      </c>
      <c r="O478" s="58">
        <f t="shared" si="20"/>
        <v>17.5</v>
      </c>
      <c r="P478" s="185"/>
      <c r="Q478" s="185"/>
    </row>
    <row r="479" spans="5:17" hidden="1" outlineLevel="1">
      <c r="E479" s="20"/>
      <c r="F479" s="21"/>
      <c r="G479" s="22"/>
      <c r="H479" s="30" t="s">
        <v>2901</v>
      </c>
      <c r="I479" s="22">
        <v>60.62</v>
      </c>
      <c r="J479" s="32"/>
      <c r="K479" s="10"/>
      <c r="L479" s="32"/>
      <c r="M479" s="10"/>
      <c r="N479" s="33">
        <f t="shared" si="21"/>
        <v>60.62</v>
      </c>
      <c r="O479" s="58">
        <f t="shared" si="20"/>
        <v>60.62</v>
      </c>
      <c r="P479" s="185"/>
      <c r="Q479" s="185"/>
    </row>
    <row r="480" spans="5:17" hidden="1" outlineLevel="1">
      <c r="E480" s="20"/>
      <c r="F480" s="21"/>
      <c r="G480" s="22"/>
      <c r="H480" s="30" t="s">
        <v>2878</v>
      </c>
      <c r="I480" s="22">
        <v>3.58</v>
      </c>
      <c r="J480" s="32"/>
      <c r="K480" s="10"/>
      <c r="L480" s="32"/>
      <c r="M480" s="10"/>
      <c r="N480" s="33">
        <f t="shared" si="21"/>
        <v>3.58</v>
      </c>
      <c r="O480" s="58">
        <f t="shared" si="20"/>
        <v>3.58</v>
      </c>
      <c r="P480" s="185"/>
      <c r="Q480" s="185"/>
    </row>
    <row r="481" spans="5:17" hidden="1" outlineLevel="1">
      <c r="E481" s="20"/>
      <c r="F481" s="21"/>
      <c r="G481" s="22"/>
      <c r="H481" s="30" t="s">
        <v>2879</v>
      </c>
      <c r="I481" s="22">
        <v>3.58</v>
      </c>
      <c r="J481" s="32"/>
      <c r="K481" s="10"/>
      <c r="L481" s="32"/>
      <c r="M481" s="10"/>
      <c r="N481" s="33">
        <f t="shared" si="21"/>
        <v>3.58</v>
      </c>
      <c r="O481" s="58">
        <f t="shared" si="20"/>
        <v>3.58</v>
      </c>
      <c r="P481" s="185"/>
      <c r="Q481" s="185"/>
    </row>
    <row r="482" spans="5:17" hidden="1" outlineLevel="1">
      <c r="E482" s="20"/>
      <c r="F482" s="21"/>
      <c r="G482" s="22"/>
      <c r="H482" s="30" t="s">
        <v>2904</v>
      </c>
      <c r="I482" s="22">
        <v>15.04</v>
      </c>
      <c r="J482" s="32"/>
      <c r="K482" s="10"/>
      <c r="L482" s="32"/>
      <c r="M482" s="10"/>
      <c r="N482" s="33">
        <f t="shared" si="21"/>
        <v>15.04</v>
      </c>
      <c r="O482" s="58">
        <f t="shared" si="20"/>
        <v>15.04</v>
      </c>
      <c r="P482" s="185"/>
      <c r="Q482" s="185"/>
    </row>
    <row r="483" spans="5:17" hidden="1" outlineLevel="1">
      <c r="E483" s="20"/>
      <c r="F483" s="21"/>
      <c r="G483" s="22"/>
      <c r="H483" s="30" t="s">
        <v>3005</v>
      </c>
      <c r="I483" s="22">
        <v>15.04</v>
      </c>
      <c r="J483" s="32"/>
      <c r="K483" s="10"/>
      <c r="L483" s="32"/>
      <c r="M483" s="10"/>
      <c r="N483" s="33">
        <f t="shared" si="21"/>
        <v>15.04</v>
      </c>
      <c r="O483" s="58">
        <f t="shared" si="20"/>
        <v>15.04</v>
      </c>
      <c r="P483" s="185"/>
      <c r="Q483" s="185"/>
    </row>
    <row r="484" spans="5:17" hidden="1" outlineLevel="1">
      <c r="E484" s="20"/>
      <c r="F484" s="21"/>
      <c r="G484" s="22"/>
      <c r="H484" s="30" t="s">
        <v>3006</v>
      </c>
      <c r="I484" s="22">
        <v>8.36</v>
      </c>
      <c r="J484" s="32"/>
      <c r="K484" s="10"/>
      <c r="L484" s="32"/>
      <c r="M484" s="10"/>
      <c r="N484" s="33">
        <f t="shared" si="21"/>
        <v>8.36</v>
      </c>
      <c r="O484" s="58">
        <f t="shared" si="20"/>
        <v>8.36</v>
      </c>
      <c r="P484" s="185"/>
      <c r="Q484" s="185"/>
    </row>
    <row r="485" spans="5:17" hidden="1" outlineLevel="1">
      <c r="E485" s="20"/>
      <c r="F485" s="21"/>
      <c r="G485" s="22"/>
      <c r="H485" s="30" t="s">
        <v>3007</v>
      </c>
      <c r="I485" s="22">
        <v>8.36</v>
      </c>
      <c r="J485" s="32"/>
      <c r="K485" s="10"/>
      <c r="L485" s="32"/>
      <c r="M485" s="10"/>
      <c r="N485" s="33">
        <f t="shared" si="21"/>
        <v>8.36</v>
      </c>
      <c r="O485" s="58">
        <f t="shared" si="20"/>
        <v>8.36</v>
      </c>
      <c r="P485" s="185"/>
      <c r="Q485" s="185"/>
    </row>
    <row r="486" spans="5:17" hidden="1" outlineLevel="1">
      <c r="E486" s="20"/>
      <c r="F486" s="21"/>
      <c r="G486" s="22"/>
      <c r="H486" s="30" t="s">
        <v>3008</v>
      </c>
      <c r="I486" s="22">
        <v>7.2</v>
      </c>
      <c r="J486" s="32"/>
      <c r="K486" s="10"/>
      <c r="L486" s="32"/>
      <c r="M486" s="10"/>
      <c r="N486" s="33">
        <f t="shared" si="21"/>
        <v>7.2</v>
      </c>
      <c r="O486" s="58">
        <f t="shared" si="20"/>
        <v>7.2</v>
      </c>
      <c r="P486" s="185"/>
      <c r="Q486" s="185"/>
    </row>
    <row r="487" spans="5:17" hidden="1" outlineLevel="1">
      <c r="E487" s="20"/>
      <c r="F487" s="21"/>
      <c r="G487" s="22"/>
      <c r="H487" s="30" t="s">
        <v>2891</v>
      </c>
      <c r="I487" s="22">
        <v>7.44</v>
      </c>
      <c r="J487" s="32"/>
      <c r="K487" s="10"/>
      <c r="L487" s="32"/>
      <c r="M487" s="10"/>
      <c r="N487" s="33">
        <f t="shared" si="21"/>
        <v>7.44</v>
      </c>
      <c r="O487" s="58">
        <f t="shared" si="20"/>
        <v>7.44</v>
      </c>
      <c r="P487" s="185"/>
      <c r="Q487" s="185"/>
    </row>
    <row r="488" spans="5:17" hidden="1" outlineLevel="1">
      <c r="E488" s="20"/>
      <c r="F488" s="21"/>
      <c r="G488" s="22"/>
      <c r="H488" s="30" t="s">
        <v>2893</v>
      </c>
      <c r="I488" s="22">
        <v>7.44</v>
      </c>
      <c r="J488" s="32"/>
      <c r="K488" s="10"/>
      <c r="L488" s="32"/>
      <c r="M488" s="10"/>
      <c r="N488" s="33">
        <f t="shared" si="21"/>
        <v>7.44</v>
      </c>
      <c r="O488" s="58">
        <f t="shared" si="20"/>
        <v>7.44</v>
      </c>
      <c r="P488" s="185"/>
      <c r="Q488" s="185"/>
    </row>
    <row r="489" spans="5:17" hidden="1" outlineLevel="1">
      <c r="E489" s="20"/>
      <c r="F489" s="21"/>
      <c r="G489" s="22"/>
      <c r="H489" s="30" t="s">
        <v>2906</v>
      </c>
      <c r="I489" s="22">
        <v>120.62</v>
      </c>
      <c r="J489" s="32"/>
      <c r="K489" s="10"/>
      <c r="L489" s="32"/>
      <c r="M489" s="10"/>
      <c r="N489" s="33">
        <f t="shared" si="21"/>
        <v>120.62</v>
      </c>
      <c r="O489" s="58">
        <f t="shared" si="20"/>
        <v>120.62</v>
      </c>
      <c r="P489" s="185"/>
      <c r="Q489" s="185"/>
    </row>
    <row r="490" spans="5:17" hidden="1" outlineLevel="1">
      <c r="E490" s="20"/>
      <c r="F490" s="21"/>
      <c r="G490" s="22"/>
      <c r="H490" s="30" t="s">
        <v>3009</v>
      </c>
      <c r="I490" s="22">
        <v>1.94</v>
      </c>
      <c r="J490" s="32"/>
      <c r="K490" s="10"/>
      <c r="L490" s="32"/>
      <c r="M490" s="10"/>
      <c r="N490" s="33">
        <f t="shared" si="21"/>
        <v>1.94</v>
      </c>
      <c r="O490" s="58">
        <f t="shared" si="20"/>
        <v>1.94</v>
      </c>
      <c r="P490" s="185"/>
      <c r="Q490" s="185"/>
    </row>
    <row r="491" spans="5:17" hidden="1" outlineLevel="1">
      <c r="E491" s="20"/>
      <c r="F491" s="21"/>
      <c r="G491" s="22"/>
      <c r="H491" s="30" t="s">
        <v>3010</v>
      </c>
      <c r="I491" s="22">
        <v>186</v>
      </c>
      <c r="J491" s="32"/>
      <c r="K491" s="10"/>
      <c r="L491" s="32"/>
      <c r="M491" s="10"/>
      <c r="N491" s="33">
        <f t="shared" si="21"/>
        <v>186</v>
      </c>
      <c r="O491" s="58">
        <f t="shared" si="20"/>
        <v>186</v>
      </c>
      <c r="P491" s="185"/>
      <c r="Q491" s="185"/>
    </row>
    <row r="492" spans="5:17" hidden="1" outlineLevel="1">
      <c r="E492" s="20"/>
      <c r="F492" s="21"/>
      <c r="G492" s="22"/>
      <c r="H492" s="30" t="s">
        <v>2908</v>
      </c>
      <c r="I492" s="22">
        <v>8.6999999999999993</v>
      </c>
      <c r="J492" s="32"/>
      <c r="K492" s="10"/>
      <c r="L492" s="32"/>
      <c r="M492" s="10"/>
      <c r="N492" s="33">
        <f t="shared" si="21"/>
        <v>8.6999999999999993</v>
      </c>
      <c r="O492" s="58">
        <f t="shared" si="20"/>
        <v>8.6999999999999993</v>
      </c>
      <c r="P492" s="185"/>
      <c r="Q492" s="185"/>
    </row>
    <row r="493" spans="5:17" hidden="1" outlineLevel="1">
      <c r="E493" s="20"/>
      <c r="F493" s="21"/>
      <c r="G493" s="22"/>
      <c r="H493" s="30" t="s">
        <v>3011</v>
      </c>
      <c r="I493" s="22">
        <v>30.37</v>
      </c>
      <c r="J493" s="32"/>
      <c r="K493" s="10"/>
      <c r="L493" s="32"/>
      <c r="M493" s="10"/>
      <c r="N493" s="33">
        <f t="shared" si="21"/>
        <v>30.37</v>
      </c>
      <c r="O493" s="58">
        <f t="shared" si="20"/>
        <v>30.37</v>
      </c>
      <c r="P493" s="185"/>
      <c r="Q493" s="185"/>
    </row>
    <row r="494" spans="5:17" hidden="1" outlineLevel="1">
      <c r="E494" s="20"/>
      <c r="F494" s="21"/>
      <c r="G494" s="22"/>
      <c r="H494" s="30" t="s">
        <v>3012</v>
      </c>
      <c r="I494" s="22">
        <v>6.07</v>
      </c>
      <c r="J494" s="32"/>
      <c r="K494" s="10"/>
      <c r="L494" s="32"/>
      <c r="M494" s="10"/>
      <c r="N494" s="33">
        <f t="shared" si="21"/>
        <v>6.07</v>
      </c>
      <c r="O494" s="58">
        <f t="shared" si="20"/>
        <v>6.07</v>
      </c>
      <c r="P494" s="185"/>
      <c r="Q494" s="185"/>
    </row>
    <row r="495" spans="5:17" hidden="1" outlineLevel="1">
      <c r="E495" s="20"/>
      <c r="F495" s="21"/>
      <c r="G495" s="22"/>
      <c r="H495" s="30" t="s">
        <v>3013</v>
      </c>
      <c r="I495" s="22">
        <v>3.33</v>
      </c>
      <c r="J495" s="32"/>
      <c r="K495" s="10"/>
      <c r="L495" s="32"/>
      <c r="M495" s="10"/>
      <c r="N495" s="33">
        <f t="shared" si="21"/>
        <v>3.33</v>
      </c>
      <c r="O495" s="58">
        <f t="shared" si="20"/>
        <v>3.33</v>
      </c>
      <c r="P495" s="185"/>
      <c r="Q495" s="185"/>
    </row>
    <row r="496" spans="5:17" hidden="1" outlineLevel="1">
      <c r="E496" s="20"/>
      <c r="F496" s="21"/>
      <c r="G496" s="22"/>
      <c r="H496" s="30" t="s">
        <v>2976</v>
      </c>
      <c r="I496" s="22">
        <v>6.07</v>
      </c>
      <c r="J496" s="32"/>
      <c r="K496" s="10"/>
      <c r="L496" s="32"/>
      <c r="M496" s="10"/>
      <c r="N496" s="33">
        <f t="shared" si="21"/>
        <v>6.07</v>
      </c>
      <c r="O496" s="58">
        <f t="shared" si="20"/>
        <v>6.07</v>
      </c>
      <c r="P496" s="185"/>
      <c r="Q496" s="185"/>
    </row>
    <row r="497" spans="1:17" ht="30" hidden="1" outlineLevel="1">
      <c r="A497" s="2">
        <v>5</v>
      </c>
      <c r="B497" s="2">
        <v>6</v>
      </c>
      <c r="C497" s="2">
        <f>1+C452</f>
        <v>3</v>
      </c>
      <c r="E497" s="20" t="str">
        <f>CONCATENATE(A497,".",B497,".",C497)</f>
        <v>5.6.3</v>
      </c>
      <c r="F497" s="21" t="s">
        <v>3016</v>
      </c>
      <c r="G497" s="22" t="s">
        <v>212</v>
      </c>
      <c r="H497" s="23" t="s">
        <v>213</v>
      </c>
      <c r="I497" s="24" t="s">
        <v>45</v>
      </c>
      <c r="J497" s="32"/>
      <c r="K497" s="10"/>
      <c r="L497" s="32"/>
      <c r="M497" s="10"/>
      <c r="N497" s="33"/>
      <c r="O497" s="27">
        <f>SUM(O499:O541)</f>
        <v>1492.9699999999996</v>
      </c>
      <c r="P497" s="185"/>
      <c r="Q497" s="185"/>
    </row>
    <row r="498" spans="1:17" hidden="1" outlineLevel="1">
      <c r="E498" s="20"/>
      <c r="F498" s="21"/>
      <c r="G498" s="22"/>
      <c r="H498" s="24" t="s">
        <v>2873</v>
      </c>
      <c r="I498" s="22"/>
      <c r="J498" s="32"/>
      <c r="K498" s="10"/>
      <c r="L498" s="32"/>
      <c r="M498" s="10"/>
      <c r="N498" s="33"/>
      <c r="O498" s="27"/>
      <c r="P498" s="185"/>
      <c r="Q498" s="185"/>
    </row>
    <row r="499" spans="1:17" hidden="1" outlineLevel="1">
      <c r="E499" s="20"/>
      <c r="F499" s="21"/>
      <c r="G499" s="22"/>
      <c r="H499" s="30" t="s">
        <v>2874</v>
      </c>
      <c r="I499" s="22">
        <v>47.95</v>
      </c>
      <c r="J499" s="32"/>
      <c r="K499" s="10"/>
      <c r="L499" s="32"/>
      <c r="M499" s="10"/>
      <c r="N499" s="33">
        <f t="shared" ref="N499:N531" si="22">I499</f>
        <v>47.95</v>
      </c>
      <c r="O499" s="58">
        <f t="shared" ref="O499:O531" si="23">ROUND(PRODUCT(J499:N499),2)</f>
        <v>47.95</v>
      </c>
      <c r="P499" s="185"/>
      <c r="Q499" s="185"/>
    </row>
    <row r="500" spans="1:17" hidden="1" outlineLevel="1">
      <c r="E500" s="20"/>
      <c r="F500" s="21"/>
      <c r="G500" s="22"/>
      <c r="H500" s="30" t="s">
        <v>2990</v>
      </c>
      <c r="I500" s="22">
        <v>5.15</v>
      </c>
      <c r="J500" s="32"/>
      <c r="K500" s="10"/>
      <c r="L500" s="32"/>
      <c r="M500" s="10"/>
      <c r="N500" s="33">
        <f t="shared" si="22"/>
        <v>5.15</v>
      </c>
      <c r="O500" s="58">
        <f t="shared" si="23"/>
        <v>5.15</v>
      </c>
      <c r="P500" s="185"/>
      <c r="Q500" s="185"/>
    </row>
    <row r="501" spans="1:17" hidden="1" outlineLevel="1">
      <c r="E501" s="20"/>
      <c r="F501" s="21"/>
      <c r="G501" s="22"/>
      <c r="H501" s="30" t="s">
        <v>2991</v>
      </c>
      <c r="I501" s="22">
        <v>8.39</v>
      </c>
      <c r="J501" s="32"/>
      <c r="K501" s="10"/>
      <c r="L501" s="32"/>
      <c r="M501" s="10"/>
      <c r="N501" s="33">
        <f t="shared" si="22"/>
        <v>8.39</v>
      </c>
      <c r="O501" s="58">
        <f t="shared" si="23"/>
        <v>8.39</v>
      </c>
      <c r="P501" s="185"/>
      <c r="Q501" s="185"/>
    </row>
    <row r="502" spans="1:17" hidden="1" outlineLevel="1">
      <c r="E502" s="20"/>
      <c r="F502" s="21"/>
      <c r="G502" s="22"/>
      <c r="H502" s="30" t="s">
        <v>2875</v>
      </c>
      <c r="I502" s="22">
        <v>13.57</v>
      </c>
      <c r="J502" s="32"/>
      <c r="K502" s="10"/>
      <c r="L502" s="32"/>
      <c r="M502" s="10"/>
      <c r="N502" s="33">
        <f t="shared" si="22"/>
        <v>13.57</v>
      </c>
      <c r="O502" s="58">
        <f t="shared" si="23"/>
        <v>13.57</v>
      </c>
      <c r="P502" s="185"/>
      <c r="Q502" s="185"/>
    </row>
    <row r="503" spans="1:17" hidden="1" outlineLevel="1">
      <c r="E503" s="20"/>
      <c r="F503" s="21"/>
      <c r="G503" s="22"/>
      <c r="H503" s="30" t="s">
        <v>2876</v>
      </c>
      <c r="I503" s="22">
        <v>13.57</v>
      </c>
      <c r="J503" s="32"/>
      <c r="K503" s="10"/>
      <c r="L503" s="32"/>
      <c r="M503" s="10"/>
      <c r="N503" s="33">
        <f t="shared" si="22"/>
        <v>13.57</v>
      </c>
      <c r="O503" s="58">
        <f t="shared" si="23"/>
        <v>13.57</v>
      </c>
      <c r="P503" s="185"/>
      <c r="Q503" s="185"/>
    </row>
    <row r="504" spans="1:17" hidden="1" outlineLevel="1">
      <c r="E504" s="20"/>
      <c r="F504" s="21"/>
      <c r="G504" s="22"/>
      <c r="H504" s="30" t="s">
        <v>2992</v>
      </c>
      <c r="I504" s="22">
        <v>5.44</v>
      </c>
      <c r="J504" s="32"/>
      <c r="K504" s="10"/>
      <c r="L504" s="32"/>
      <c r="M504" s="10"/>
      <c r="N504" s="33">
        <f t="shared" si="22"/>
        <v>5.44</v>
      </c>
      <c r="O504" s="58">
        <f t="shared" si="23"/>
        <v>5.44</v>
      </c>
      <c r="P504" s="185"/>
      <c r="Q504" s="185"/>
    </row>
    <row r="505" spans="1:17" hidden="1" outlineLevel="1">
      <c r="E505" s="20"/>
      <c r="F505" s="21"/>
      <c r="G505" s="22"/>
      <c r="H505" s="30" t="s">
        <v>2993</v>
      </c>
      <c r="I505" s="22">
        <f>2.4*2.4</f>
        <v>5.76</v>
      </c>
      <c r="J505" s="32"/>
      <c r="K505" s="10"/>
      <c r="L505" s="32"/>
      <c r="M505" s="10"/>
      <c r="N505" s="33">
        <f t="shared" si="22"/>
        <v>5.76</v>
      </c>
      <c r="O505" s="58">
        <f t="shared" si="23"/>
        <v>5.76</v>
      </c>
      <c r="P505" s="185"/>
      <c r="Q505" s="185"/>
    </row>
    <row r="506" spans="1:17" hidden="1" outlineLevel="1">
      <c r="E506" s="20"/>
      <c r="F506" s="21"/>
      <c r="G506" s="22"/>
      <c r="H506" s="30" t="s">
        <v>2882</v>
      </c>
      <c r="I506" s="22">
        <v>18.07</v>
      </c>
      <c r="J506" s="32"/>
      <c r="K506" s="10"/>
      <c r="L506" s="32"/>
      <c r="M506" s="10"/>
      <c r="N506" s="33">
        <f t="shared" si="22"/>
        <v>18.07</v>
      </c>
      <c r="O506" s="58">
        <f t="shared" si="23"/>
        <v>18.07</v>
      </c>
      <c r="P506" s="185"/>
      <c r="Q506" s="185"/>
    </row>
    <row r="507" spans="1:17" hidden="1" outlineLevel="1">
      <c r="E507" s="20"/>
      <c r="F507" s="21"/>
      <c r="G507" s="22"/>
      <c r="H507" s="30" t="s">
        <v>2994</v>
      </c>
      <c r="I507" s="22">
        <v>3.43</v>
      </c>
      <c r="J507" s="32"/>
      <c r="K507" s="10"/>
      <c r="L507" s="32"/>
      <c r="M507" s="10"/>
      <c r="N507" s="33">
        <f t="shared" si="22"/>
        <v>3.43</v>
      </c>
      <c r="O507" s="58">
        <f t="shared" si="23"/>
        <v>3.43</v>
      </c>
      <c r="P507" s="185"/>
      <c r="Q507" s="185"/>
    </row>
    <row r="508" spans="1:17" hidden="1" outlineLevel="1">
      <c r="E508" s="20"/>
      <c r="F508" s="21"/>
      <c r="G508" s="22"/>
      <c r="H508" s="30" t="s">
        <v>2995</v>
      </c>
      <c r="I508" s="22">
        <v>3.43</v>
      </c>
      <c r="J508" s="32"/>
      <c r="K508" s="10"/>
      <c r="L508" s="32"/>
      <c r="M508" s="10"/>
      <c r="N508" s="33">
        <f t="shared" si="22"/>
        <v>3.43</v>
      </c>
      <c r="O508" s="58">
        <f t="shared" si="23"/>
        <v>3.43</v>
      </c>
      <c r="P508" s="185"/>
      <c r="Q508" s="185"/>
    </row>
    <row r="509" spans="1:17" hidden="1" outlineLevel="1">
      <c r="E509" s="20"/>
      <c r="F509" s="21"/>
      <c r="G509" s="22"/>
      <c r="H509" s="30" t="s">
        <v>2880</v>
      </c>
      <c r="I509" s="22">
        <v>10.42</v>
      </c>
      <c r="J509" s="32"/>
      <c r="K509" s="10"/>
      <c r="L509" s="32"/>
      <c r="M509" s="10"/>
      <c r="N509" s="33">
        <f t="shared" si="22"/>
        <v>10.42</v>
      </c>
      <c r="O509" s="58">
        <f t="shared" si="23"/>
        <v>10.42</v>
      </c>
      <c r="P509" s="185"/>
      <c r="Q509" s="185"/>
    </row>
    <row r="510" spans="1:17" hidden="1" outlineLevel="1">
      <c r="E510" s="20"/>
      <c r="F510" s="21"/>
      <c r="G510" s="22"/>
      <c r="H510" s="30" t="s">
        <v>2996</v>
      </c>
      <c r="I510" s="22">
        <v>14.66</v>
      </c>
      <c r="J510" s="32"/>
      <c r="K510" s="10"/>
      <c r="L510" s="32"/>
      <c r="M510" s="10"/>
      <c r="N510" s="33">
        <f t="shared" si="22"/>
        <v>14.66</v>
      </c>
      <c r="O510" s="58">
        <f t="shared" si="23"/>
        <v>14.66</v>
      </c>
      <c r="P510" s="185"/>
      <c r="Q510" s="185"/>
    </row>
    <row r="511" spans="1:17" hidden="1" outlineLevel="1">
      <c r="E511" s="20"/>
      <c r="F511" s="21"/>
      <c r="G511" s="22"/>
      <c r="H511" s="30" t="s">
        <v>2883</v>
      </c>
      <c r="I511" s="22">
        <v>35.51</v>
      </c>
      <c r="J511" s="32"/>
      <c r="K511" s="10"/>
      <c r="L511" s="32"/>
      <c r="M511" s="10"/>
      <c r="N511" s="33">
        <f t="shared" si="22"/>
        <v>35.51</v>
      </c>
      <c r="O511" s="58">
        <f t="shared" si="23"/>
        <v>35.51</v>
      </c>
      <c r="P511" s="185"/>
      <c r="Q511" s="185"/>
    </row>
    <row r="512" spans="1:17" hidden="1" outlineLevel="1">
      <c r="E512" s="20"/>
      <c r="F512" s="21"/>
      <c r="G512" s="22"/>
      <c r="H512" s="30" t="s">
        <v>2997</v>
      </c>
      <c r="I512" s="22">
        <v>17.36</v>
      </c>
      <c r="J512" s="32"/>
      <c r="K512" s="10"/>
      <c r="L512" s="32"/>
      <c r="M512" s="10"/>
      <c r="N512" s="33">
        <f t="shared" si="22"/>
        <v>17.36</v>
      </c>
      <c r="O512" s="58">
        <f t="shared" si="23"/>
        <v>17.36</v>
      </c>
      <c r="P512" s="185"/>
      <c r="Q512" s="185"/>
    </row>
    <row r="513" spans="5:17" hidden="1" outlineLevel="1">
      <c r="E513" s="20"/>
      <c r="F513" s="21"/>
      <c r="G513" s="22"/>
      <c r="H513" s="30" t="s">
        <v>2998</v>
      </c>
      <c r="I513" s="22">
        <v>60.62</v>
      </c>
      <c r="J513" s="32"/>
      <c r="K513" s="10"/>
      <c r="L513" s="32"/>
      <c r="M513" s="10"/>
      <c r="N513" s="33">
        <f t="shared" si="22"/>
        <v>60.62</v>
      </c>
      <c r="O513" s="58">
        <f t="shared" si="23"/>
        <v>60.62</v>
      </c>
      <c r="P513" s="185"/>
      <c r="Q513" s="185"/>
    </row>
    <row r="514" spans="5:17" hidden="1" outlineLevel="1">
      <c r="E514" s="20"/>
      <c r="F514" s="21"/>
      <c r="G514" s="22"/>
      <c r="H514" s="30" t="s">
        <v>2886</v>
      </c>
      <c r="I514" s="22">
        <v>60.62</v>
      </c>
      <c r="J514" s="32"/>
      <c r="K514" s="10"/>
      <c r="L514" s="32"/>
      <c r="M514" s="10"/>
      <c r="N514" s="33">
        <f t="shared" si="22"/>
        <v>60.62</v>
      </c>
      <c r="O514" s="58">
        <f t="shared" si="23"/>
        <v>60.62</v>
      </c>
      <c r="P514" s="185"/>
      <c r="Q514" s="185"/>
    </row>
    <row r="515" spans="5:17" hidden="1" outlineLevel="1">
      <c r="E515" s="20"/>
      <c r="F515" s="21"/>
      <c r="G515" s="22"/>
      <c r="H515" s="30" t="s">
        <v>2887</v>
      </c>
      <c r="I515" s="22">
        <v>16.100000000000001</v>
      </c>
      <c r="J515" s="32"/>
      <c r="K515" s="10"/>
      <c r="L515" s="32"/>
      <c r="M515" s="10"/>
      <c r="N515" s="33">
        <f t="shared" si="22"/>
        <v>16.100000000000001</v>
      </c>
      <c r="O515" s="58">
        <f t="shared" si="23"/>
        <v>16.100000000000001</v>
      </c>
      <c r="P515" s="185"/>
      <c r="Q515" s="185"/>
    </row>
    <row r="516" spans="5:17" hidden="1" outlineLevel="1">
      <c r="E516" s="20"/>
      <c r="F516" s="21"/>
      <c r="G516" s="22"/>
      <c r="H516" s="30" t="s">
        <v>2999</v>
      </c>
      <c r="I516" s="22">
        <v>413.1</v>
      </c>
      <c r="J516" s="32"/>
      <c r="K516" s="10"/>
      <c r="L516" s="32"/>
      <c r="M516" s="10"/>
      <c r="N516" s="33">
        <f t="shared" si="22"/>
        <v>413.1</v>
      </c>
      <c r="O516" s="58">
        <f t="shared" si="23"/>
        <v>413.1</v>
      </c>
      <c r="P516" s="185"/>
      <c r="Q516" s="185"/>
    </row>
    <row r="517" spans="5:17" hidden="1" outlineLevel="1">
      <c r="E517" s="20"/>
      <c r="F517" s="21"/>
      <c r="G517" s="22"/>
      <c r="H517" s="30" t="s">
        <v>3000</v>
      </c>
      <c r="I517" s="22">
        <v>60.62</v>
      </c>
      <c r="J517" s="32"/>
      <c r="K517" s="10"/>
      <c r="L517" s="32"/>
      <c r="M517" s="10"/>
      <c r="N517" s="33">
        <f t="shared" si="22"/>
        <v>60.62</v>
      </c>
      <c r="O517" s="58">
        <f t="shared" si="23"/>
        <v>60.62</v>
      </c>
      <c r="P517" s="185"/>
      <c r="Q517" s="185"/>
    </row>
    <row r="518" spans="5:17" hidden="1" outlineLevel="1">
      <c r="E518" s="20"/>
      <c r="F518" s="21"/>
      <c r="G518" s="22"/>
      <c r="H518" s="30" t="s">
        <v>3001</v>
      </c>
      <c r="I518" s="22">
        <v>11.6</v>
      </c>
      <c r="J518" s="32"/>
      <c r="K518" s="10"/>
      <c r="L518" s="32"/>
      <c r="M518" s="10"/>
      <c r="N518" s="33">
        <f t="shared" si="22"/>
        <v>11.6</v>
      </c>
      <c r="O518" s="58">
        <f t="shared" si="23"/>
        <v>11.6</v>
      </c>
      <c r="P518" s="185"/>
      <c r="Q518" s="185"/>
    </row>
    <row r="519" spans="5:17" hidden="1" outlineLevel="1">
      <c r="E519" s="20"/>
      <c r="F519" s="21"/>
      <c r="G519" s="22"/>
      <c r="H519" s="30" t="s">
        <v>3002</v>
      </c>
      <c r="I519" s="22">
        <v>17.5</v>
      </c>
      <c r="J519" s="32"/>
      <c r="K519" s="10"/>
      <c r="L519" s="32"/>
      <c r="M519" s="10"/>
      <c r="N519" s="33">
        <f t="shared" si="22"/>
        <v>17.5</v>
      </c>
      <c r="O519" s="58">
        <f t="shared" si="23"/>
        <v>17.5</v>
      </c>
      <c r="P519" s="185"/>
      <c r="Q519" s="185"/>
    </row>
    <row r="520" spans="5:17" hidden="1" outlineLevel="1">
      <c r="E520" s="20"/>
      <c r="F520" s="21"/>
      <c r="G520" s="22"/>
      <c r="H520" s="30" t="s">
        <v>2897</v>
      </c>
      <c r="I520" s="22">
        <v>60.62</v>
      </c>
      <c r="J520" s="32"/>
      <c r="K520" s="10"/>
      <c r="L520" s="32"/>
      <c r="M520" s="10"/>
      <c r="N520" s="33">
        <f t="shared" si="22"/>
        <v>60.62</v>
      </c>
      <c r="O520" s="58">
        <f t="shared" si="23"/>
        <v>60.62</v>
      </c>
      <c r="P520" s="185"/>
      <c r="Q520" s="185"/>
    </row>
    <row r="521" spans="5:17" hidden="1" outlineLevel="1">
      <c r="E521" s="20"/>
      <c r="F521" s="21"/>
      <c r="G521" s="22"/>
      <c r="H521" s="30" t="s">
        <v>2898</v>
      </c>
      <c r="I521" s="22">
        <v>60.62</v>
      </c>
      <c r="J521" s="32"/>
      <c r="K521" s="10"/>
      <c r="L521" s="32"/>
      <c r="M521" s="10"/>
      <c r="N521" s="33">
        <f t="shared" si="22"/>
        <v>60.62</v>
      </c>
      <c r="O521" s="58">
        <f t="shared" si="23"/>
        <v>60.62</v>
      </c>
      <c r="P521" s="185"/>
      <c r="Q521" s="185"/>
    </row>
    <row r="522" spans="5:17" hidden="1" outlineLevel="1">
      <c r="E522" s="20"/>
      <c r="F522" s="21"/>
      <c r="G522" s="22"/>
      <c r="H522" s="30" t="s">
        <v>3003</v>
      </c>
      <c r="I522" s="22">
        <v>11.6</v>
      </c>
      <c r="J522" s="32"/>
      <c r="K522" s="10"/>
      <c r="L522" s="32"/>
      <c r="M522" s="10"/>
      <c r="N522" s="33">
        <f t="shared" si="22"/>
        <v>11.6</v>
      </c>
      <c r="O522" s="58">
        <f t="shared" si="23"/>
        <v>11.6</v>
      </c>
      <c r="P522" s="185"/>
      <c r="Q522" s="185"/>
    </row>
    <row r="523" spans="5:17" hidden="1" outlineLevel="1">
      <c r="E523" s="20"/>
      <c r="F523" s="21"/>
      <c r="G523" s="22"/>
      <c r="H523" s="30" t="s">
        <v>3004</v>
      </c>
      <c r="I523" s="22">
        <v>17.5</v>
      </c>
      <c r="J523" s="32"/>
      <c r="K523" s="10"/>
      <c r="L523" s="32"/>
      <c r="M523" s="10"/>
      <c r="N523" s="33">
        <f t="shared" si="22"/>
        <v>17.5</v>
      </c>
      <c r="O523" s="58">
        <f t="shared" si="23"/>
        <v>17.5</v>
      </c>
      <c r="P523" s="185"/>
      <c r="Q523" s="185"/>
    </row>
    <row r="524" spans="5:17" hidden="1" outlineLevel="1">
      <c r="E524" s="20"/>
      <c r="F524" s="21"/>
      <c r="G524" s="22"/>
      <c r="H524" s="30" t="s">
        <v>2901</v>
      </c>
      <c r="I524" s="22">
        <v>60.62</v>
      </c>
      <c r="J524" s="32"/>
      <c r="K524" s="10"/>
      <c r="L524" s="32"/>
      <c r="M524" s="10"/>
      <c r="N524" s="33">
        <f t="shared" si="22"/>
        <v>60.62</v>
      </c>
      <c r="O524" s="58">
        <f t="shared" si="23"/>
        <v>60.62</v>
      </c>
      <c r="P524" s="185"/>
      <c r="Q524" s="185"/>
    </row>
    <row r="525" spans="5:17" hidden="1" outlineLevel="1">
      <c r="E525" s="20"/>
      <c r="F525" s="21"/>
      <c r="G525" s="22"/>
      <c r="H525" s="30" t="s">
        <v>2878</v>
      </c>
      <c r="I525" s="22">
        <v>3.58</v>
      </c>
      <c r="J525" s="32"/>
      <c r="K525" s="10"/>
      <c r="L525" s="32"/>
      <c r="M525" s="10"/>
      <c r="N525" s="33">
        <f t="shared" si="22"/>
        <v>3.58</v>
      </c>
      <c r="O525" s="58">
        <f t="shared" si="23"/>
        <v>3.58</v>
      </c>
      <c r="P525" s="185"/>
      <c r="Q525" s="185"/>
    </row>
    <row r="526" spans="5:17" hidden="1" outlineLevel="1">
      <c r="E526" s="20"/>
      <c r="F526" s="21"/>
      <c r="G526" s="22"/>
      <c r="H526" s="30" t="s">
        <v>2879</v>
      </c>
      <c r="I526" s="22">
        <v>3.58</v>
      </c>
      <c r="J526" s="32"/>
      <c r="K526" s="10"/>
      <c r="L526" s="32"/>
      <c r="M526" s="10"/>
      <c r="N526" s="33">
        <f t="shared" si="22"/>
        <v>3.58</v>
      </c>
      <c r="O526" s="58">
        <f t="shared" si="23"/>
        <v>3.58</v>
      </c>
      <c r="P526" s="185"/>
      <c r="Q526" s="185"/>
    </row>
    <row r="527" spans="5:17" hidden="1" outlineLevel="1">
      <c r="E527" s="20"/>
      <c r="F527" s="21"/>
      <c r="G527" s="22"/>
      <c r="H527" s="30" t="s">
        <v>2904</v>
      </c>
      <c r="I527" s="22">
        <v>15.04</v>
      </c>
      <c r="J527" s="32"/>
      <c r="K527" s="10"/>
      <c r="L527" s="32"/>
      <c r="M527" s="10"/>
      <c r="N527" s="33">
        <f t="shared" si="22"/>
        <v>15.04</v>
      </c>
      <c r="O527" s="58">
        <f t="shared" si="23"/>
        <v>15.04</v>
      </c>
      <c r="P527" s="185"/>
      <c r="Q527" s="185"/>
    </row>
    <row r="528" spans="5:17" hidden="1" outlineLevel="1">
      <c r="E528" s="20"/>
      <c r="F528" s="21"/>
      <c r="G528" s="22"/>
      <c r="H528" s="30" t="s">
        <v>3005</v>
      </c>
      <c r="I528" s="22">
        <v>15.04</v>
      </c>
      <c r="J528" s="32"/>
      <c r="K528" s="10"/>
      <c r="L528" s="32"/>
      <c r="M528" s="10"/>
      <c r="N528" s="33">
        <f t="shared" si="22"/>
        <v>15.04</v>
      </c>
      <c r="O528" s="58">
        <f t="shared" si="23"/>
        <v>15.04</v>
      </c>
      <c r="P528" s="185"/>
      <c r="Q528" s="185"/>
    </row>
    <row r="529" spans="1:17" hidden="1" outlineLevel="1">
      <c r="E529" s="20"/>
      <c r="F529" s="21"/>
      <c r="G529" s="22"/>
      <c r="H529" s="30" t="s">
        <v>3006</v>
      </c>
      <c r="I529" s="22">
        <v>8.36</v>
      </c>
      <c r="J529" s="32"/>
      <c r="K529" s="10"/>
      <c r="L529" s="32"/>
      <c r="M529" s="10"/>
      <c r="N529" s="33">
        <f t="shared" si="22"/>
        <v>8.36</v>
      </c>
      <c r="O529" s="58">
        <f t="shared" si="23"/>
        <v>8.36</v>
      </c>
      <c r="P529" s="185"/>
      <c r="Q529" s="185"/>
    </row>
    <row r="530" spans="1:17" hidden="1" outlineLevel="1">
      <c r="E530" s="20"/>
      <c r="F530" s="21"/>
      <c r="G530" s="22"/>
      <c r="H530" s="30" t="s">
        <v>3007</v>
      </c>
      <c r="I530" s="22">
        <v>8.36</v>
      </c>
      <c r="J530" s="32"/>
      <c r="K530" s="10"/>
      <c r="L530" s="32"/>
      <c r="M530" s="10"/>
      <c r="N530" s="33">
        <f t="shared" si="22"/>
        <v>8.36</v>
      </c>
      <c r="O530" s="58">
        <f t="shared" si="23"/>
        <v>8.36</v>
      </c>
      <c r="P530" s="185"/>
      <c r="Q530" s="185"/>
    </row>
    <row r="531" spans="1:17" hidden="1" outlineLevel="1">
      <c r="E531" s="20"/>
      <c r="F531" s="21"/>
      <c r="G531" s="22"/>
      <c r="H531" s="30" t="s">
        <v>3008</v>
      </c>
      <c r="I531" s="22">
        <v>7.2</v>
      </c>
      <c r="J531" s="32"/>
      <c r="K531" s="10"/>
      <c r="L531" s="32"/>
      <c r="M531" s="10"/>
      <c r="N531" s="33">
        <f t="shared" si="22"/>
        <v>7.2</v>
      </c>
      <c r="O531" s="58">
        <f t="shared" si="23"/>
        <v>7.2</v>
      </c>
      <c r="P531" s="185"/>
      <c r="Q531" s="185"/>
    </row>
    <row r="532" spans="1:17" hidden="1" outlineLevel="1">
      <c r="E532" s="20"/>
      <c r="F532" s="21"/>
      <c r="G532" s="22"/>
      <c r="H532" s="30" t="s">
        <v>2891</v>
      </c>
      <c r="I532" s="22">
        <v>7.44</v>
      </c>
      <c r="J532" s="32"/>
      <c r="K532" s="10"/>
      <c r="L532" s="32"/>
      <c r="M532" s="10"/>
      <c r="N532" s="33">
        <f t="shared" ref="N532:N541" si="24">I532</f>
        <v>7.44</v>
      </c>
      <c r="O532" s="58">
        <f t="shared" ref="O532:O541" si="25">ROUND(PRODUCT(J532:N532),2)</f>
        <v>7.44</v>
      </c>
      <c r="P532" s="185"/>
      <c r="Q532" s="185"/>
    </row>
    <row r="533" spans="1:17" hidden="1" outlineLevel="1">
      <c r="E533" s="20"/>
      <c r="F533" s="21"/>
      <c r="G533" s="22"/>
      <c r="H533" s="30" t="s">
        <v>2893</v>
      </c>
      <c r="I533" s="22">
        <v>7.44</v>
      </c>
      <c r="J533" s="32"/>
      <c r="K533" s="10"/>
      <c r="L533" s="32"/>
      <c r="M533" s="10"/>
      <c r="N533" s="33">
        <f t="shared" si="24"/>
        <v>7.44</v>
      </c>
      <c r="O533" s="58">
        <f t="shared" si="25"/>
        <v>7.44</v>
      </c>
      <c r="P533" s="185"/>
      <c r="Q533" s="185"/>
    </row>
    <row r="534" spans="1:17" hidden="1" outlineLevel="1">
      <c r="E534" s="20"/>
      <c r="F534" s="21"/>
      <c r="G534" s="22"/>
      <c r="H534" s="30" t="s">
        <v>2906</v>
      </c>
      <c r="I534" s="22">
        <v>120.62</v>
      </c>
      <c r="J534" s="32"/>
      <c r="K534" s="10"/>
      <c r="L534" s="32"/>
      <c r="M534" s="10"/>
      <c r="N534" s="33">
        <f t="shared" si="24"/>
        <v>120.62</v>
      </c>
      <c r="O534" s="58">
        <f t="shared" si="25"/>
        <v>120.62</v>
      </c>
      <c r="P534" s="185"/>
      <c r="Q534" s="185"/>
    </row>
    <row r="535" spans="1:17" hidden="1" outlineLevel="1">
      <c r="E535" s="20"/>
      <c r="F535" s="21"/>
      <c r="G535" s="22"/>
      <c r="H535" s="30" t="s">
        <v>3009</v>
      </c>
      <c r="I535" s="22">
        <v>1.94</v>
      </c>
      <c r="J535" s="32"/>
      <c r="K535" s="10"/>
      <c r="L535" s="32"/>
      <c r="M535" s="10"/>
      <c r="N535" s="33">
        <f t="shared" si="24"/>
        <v>1.94</v>
      </c>
      <c r="O535" s="58">
        <f t="shared" si="25"/>
        <v>1.94</v>
      </c>
      <c r="P535" s="185"/>
      <c r="Q535" s="185"/>
    </row>
    <row r="536" spans="1:17" hidden="1" outlineLevel="1">
      <c r="E536" s="20"/>
      <c r="F536" s="21"/>
      <c r="G536" s="22"/>
      <c r="H536" s="30" t="s">
        <v>3010</v>
      </c>
      <c r="I536" s="22">
        <v>186</v>
      </c>
      <c r="J536" s="32"/>
      <c r="K536" s="10"/>
      <c r="L536" s="32"/>
      <c r="M536" s="10"/>
      <c r="N536" s="33">
        <f t="shared" si="24"/>
        <v>186</v>
      </c>
      <c r="O536" s="58">
        <f t="shared" si="25"/>
        <v>186</v>
      </c>
      <c r="P536" s="185"/>
      <c r="Q536" s="185"/>
    </row>
    <row r="537" spans="1:17" hidden="1" outlineLevel="1">
      <c r="E537" s="20"/>
      <c r="F537" s="21"/>
      <c r="G537" s="22"/>
      <c r="H537" s="30" t="s">
        <v>2908</v>
      </c>
      <c r="I537" s="22">
        <v>8.6999999999999993</v>
      </c>
      <c r="J537" s="32"/>
      <c r="K537" s="10"/>
      <c r="L537" s="32"/>
      <c r="M537" s="10"/>
      <c r="N537" s="33">
        <f t="shared" si="24"/>
        <v>8.6999999999999993</v>
      </c>
      <c r="O537" s="58">
        <f t="shared" si="25"/>
        <v>8.6999999999999993</v>
      </c>
      <c r="P537" s="185"/>
      <c r="Q537" s="185"/>
    </row>
    <row r="538" spans="1:17" hidden="1" outlineLevel="1">
      <c r="E538" s="20"/>
      <c r="F538" s="21"/>
      <c r="G538" s="22"/>
      <c r="H538" s="30" t="s">
        <v>3011</v>
      </c>
      <c r="I538" s="22">
        <v>30.37</v>
      </c>
      <c r="J538" s="32"/>
      <c r="K538" s="10"/>
      <c r="L538" s="32"/>
      <c r="M538" s="10"/>
      <c r="N538" s="33">
        <f t="shared" si="24"/>
        <v>30.37</v>
      </c>
      <c r="O538" s="58">
        <f t="shared" si="25"/>
        <v>30.37</v>
      </c>
      <c r="P538" s="185"/>
      <c r="Q538" s="185"/>
    </row>
    <row r="539" spans="1:17" hidden="1" outlineLevel="1">
      <c r="E539" s="20"/>
      <c r="F539" s="21"/>
      <c r="G539" s="22"/>
      <c r="H539" s="30" t="s">
        <v>3012</v>
      </c>
      <c r="I539" s="22">
        <v>6.07</v>
      </c>
      <c r="J539" s="32"/>
      <c r="K539" s="10"/>
      <c r="L539" s="32"/>
      <c r="M539" s="10"/>
      <c r="N539" s="33">
        <f t="shared" si="24"/>
        <v>6.07</v>
      </c>
      <c r="O539" s="58">
        <f t="shared" si="25"/>
        <v>6.07</v>
      </c>
      <c r="P539" s="185"/>
      <c r="Q539" s="185"/>
    </row>
    <row r="540" spans="1:17" hidden="1" outlineLevel="1">
      <c r="E540" s="20"/>
      <c r="F540" s="21"/>
      <c r="G540" s="22"/>
      <c r="H540" s="30" t="s">
        <v>3013</v>
      </c>
      <c r="I540" s="22">
        <v>3.33</v>
      </c>
      <c r="J540" s="32"/>
      <c r="K540" s="10"/>
      <c r="L540" s="32"/>
      <c r="M540" s="10"/>
      <c r="N540" s="33">
        <f t="shared" si="24"/>
        <v>3.33</v>
      </c>
      <c r="O540" s="58">
        <f t="shared" si="25"/>
        <v>3.33</v>
      </c>
      <c r="P540" s="185"/>
      <c r="Q540" s="185"/>
    </row>
    <row r="541" spans="1:17" hidden="1" outlineLevel="1">
      <c r="E541" s="20"/>
      <c r="F541" s="21"/>
      <c r="G541" s="22"/>
      <c r="H541" s="30" t="s">
        <v>2976</v>
      </c>
      <c r="I541" s="22">
        <v>6.07</v>
      </c>
      <c r="J541" s="32"/>
      <c r="K541" s="10"/>
      <c r="L541" s="32"/>
      <c r="M541" s="10"/>
      <c r="N541" s="33">
        <f t="shared" si="24"/>
        <v>6.07</v>
      </c>
      <c r="O541" s="58">
        <f t="shared" si="25"/>
        <v>6.07</v>
      </c>
      <c r="P541" s="185"/>
      <c r="Q541" s="185"/>
    </row>
    <row r="542" spans="1:17" ht="45" hidden="1" outlineLevel="1">
      <c r="A542" s="2">
        <v>5</v>
      </c>
      <c r="B542" s="2">
        <v>6</v>
      </c>
      <c r="C542" s="2">
        <f>1+C497</f>
        <v>4</v>
      </c>
      <c r="E542" s="20" t="str">
        <f>CONCATENATE(A542,".",B542,".",C542)</f>
        <v>5.6.4</v>
      </c>
      <c r="F542" s="21" t="s">
        <v>3017</v>
      </c>
      <c r="G542" s="22" t="s">
        <v>215</v>
      </c>
      <c r="H542" s="23" t="s">
        <v>216</v>
      </c>
      <c r="I542" s="24" t="s">
        <v>45</v>
      </c>
      <c r="J542" s="32"/>
      <c r="K542" s="10"/>
      <c r="L542" s="32"/>
      <c r="M542" s="10"/>
      <c r="N542" s="33"/>
      <c r="O542" s="27">
        <f>SUM(O544:O579)</f>
        <v>1855.7000000000007</v>
      </c>
      <c r="P542" s="185"/>
      <c r="Q542" s="185"/>
    </row>
    <row r="543" spans="1:17" hidden="1" outlineLevel="1">
      <c r="E543" s="20"/>
      <c r="F543" s="21"/>
      <c r="G543" s="22"/>
      <c r="H543" s="24" t="s">
        <v>2873</v>
      </c>
      <c r="I543" s="22"/>
      <c r="J543" s="32"/>
      <c r="K543" s="10"/>
      <c r="L543" s="32"/>
      <c r="M543" s="10"/>
      <c r="N543" s="33"/>
      <c r="O543" s="27"/>
      <c r="P543" s="185"/>
      <c r="Q543" s="185"/>
    </row>
    <row r="544" spans="1:17" hidden="1" outlineLevel="1">
      <c r="E544" s="20"/>
      <c r="F544" s="21"/>
      <c r="G544" s="22"/>
      <c r="H544" s="30" t="s">
        <v>2874</v>
      </c>
      <c r="I544" s="22">
        <v>47.95</v>
      </c>
      <c r="J544" s="32"/>
      <c r="K544" s="10"/>
      <c r="L544" s="32"/>
      <c r="M544" s="10"/>
      <c r="N544" s="33">
        <f t="shared" ref="N544:N565" si="26">I544</f>
        <v>47.95</v>
      </c>
      <c r="O544" s="58">
        <f t="shared" ref="O544:O565" si="27">ROUND(PRODUCT(J544:N544),2)</f>
        <v>47.95</v>
      </c>
      <c r="P544" s="185"/>
      <c r="Q544" s="185"/>
    </row>
    <row r="545" spans="5:17" hidden="1" outlineLevel="1">
      <c r="E545" s="20"/>
      <c r="F545" s="21"/>
      <c r="G545" s="22"/>
      <c r="H545" s="30" t="s">
        <v>2990</v>
      </c>
      <c r="I545" s="22">
        <v>5.15</v>
      </c>
      <c r="J545" s="32"/>
      <c r="K545" s="10"/>
      <c r="L545" s="32"/>
      <c r="M545" s="10"/>
      <c r="N545" s="33">
        <f t="shared" si="26"/>
        <v>5.15</v>
      </c>
      <c r="O545" s="58">
        <f t="shared" si="27"/>
        <v>5.15</v>
      </c>
      <c r="P545" s="185"/>
      <c r="Q545" s="185"/>
    </row>
    <row r="546" spans="5:17" hidden="1" outlineLevel="1">
      <c r="E546" s="20"/>
      <c r="F546" s="21"/>
      <c r="G546" s="22"/>
      <c r="H546" s="30" t="s">
        <v>2991</v>
      </c>
      <c r="I546" s="22">
        <v>8.39</v>
      </c>
      <c r="J546" s="32"/>
      <c r="K546" s="10"/>
      <c r="L546" s="32"/>
      <c r="M546" s="10"/>
      <c r="N546" s="33">
        <f t="shared" si="26"/>
        <v>8.39</v>
      </c>
      <c r="O546" s="58">
        <f t="shared" si="27"/>
        <v>8.39</v>
      </c>
      <c r="P546" s="185"/>
      <c r="Q546" s="185"/>
    </row>
    <row r="547" spans="5:17" hidden="1" outlineLevel="1">
      <c r="E547" s="20"/>
      <c r="F547" s="21"/>
      <c r="G547" s="22"/>
      <c r="H547" s="30" t="s">
        <v>2875</v>
      </c>
      <c r="I547" s="22">
        <v>13.57</v>
      </c>
      <c r="J547" s="32"/>
      <c r="K547" s="10"/>
      <c r="L547" s="32"/>
      <c r="M547" s="10"/>
      <c r="N547" s="33">
        <f t="shared" si="26"/>
        <v>13.57</v>
      </c>
      <c r="O547" s="58">
        <f t="shared" si="27"/>
        <v>13.57</v>
      </c>
      <c r="P547" s="185"/>
      <c r="Q547" s="185"/>
    </row>
    <row r="548" spans="5:17" hidden="1" outlineLevel="1">
      <c r="E548" s="20"/>
      <c r="F548" s="21"/>
      <c r="G548" s="22"/>
      <c r="H548" s="30" t="s">
        <v>2876</v>
      </c>
      <c r="I548" s="22">
        <v>13.57</v>
      </c>
      <c r="J548" s="32"/>
      <c r="K548" s="10"/>
      <c r="L548" s="32"/>
      <c r="M548" s="10"/>
      <c r="N548" s="33">
        <f t="shared" si="26"/>
        <v>13.57</v>
      </c>
      <c r="O548" s="58">
        <f t="shared" si="27"/>
        <v>13.57</v>
      </c>
      <c r="P548" s="185"/>
      <c r="Q548" s="185"/>
    </row>
    <row r="549" spans="5:17" hidden="1" outlineLevel="1">
      <c r="E549" s="20"/>
      <c r="F549" s="21"/>
      <c r="G549" s="22"/>
      <c r="H549" s="30" t="s">
        <v>2992</v>
      </c>
      <c r="I549" s="22">
        <v>5.44</v>
      </c>
      <c r="J549" s="32"/>
      <c r="K549" s="10"/>
      <c r="L549" s="32"/>
      <c r="M549" s="10"/>
      <c r="N549" s="33">
        <f t="shared" si="26"/>
        <v>5.44</v>
      </c>
      <c r="O549" s="58">
        <f t="shared" si="27"/>
        <v>5.44</v>
      </c>
      <c r="P549" s="185"/>
      <c r="Q549" s="185"/>
    </row>
    <row r="550" spans="5:17" hidden="1" outlineLevel="1">
      <c r="E550" s="20"/>
      <c r="F550" s="21"/>
      <c r="G550" s="22"/>
      <c r="H550" s="30" t="s">
        <v>2882</v>
      </c>
      <c r="I550" s="22">
        <v>18.07</v>
      </c>
      <c r="J550" s="32"/>
      <c r="K550" s="10"/>
      <c r="L550" s="32"/>
      <c r="M550" s="10"/>
      <c r="N550" s="33">
        <f t="shared" si="26"/>
        <v>18.07</v>
      </c>
      <c r="O550" s="58">
        <f t="shared" si="27"/>
        <v>18.07</v>
      </c>
      <c r="P550" s="185"/>
      <c r="Q550" s="185"/>
    </row>
    <row r="551" spans="5:17" hidden="1" outlineLevel="1">
      <c r="E551" s="20"/>
      <c r="F551" s="21"/>
      <c r="G551" s="22"/>
      <c r="H551" s="30" t="s">
        <v>2996</v>
      </c>
      <c r="I551" s="22">
        <v>14.66</v>
      </c>
      <c r="J551" s="32"/>
      <c r="K551" s="10"/>
      <c r="L551" s="32"/>
      <c r="M551" s="10"/>
      <c r="N551" s="33">
        <f t="shared" si="26"/>
        <v>14.66</v>
      </c>
      <c r="O551" s="58">
        <f t="shared" si="27"/>
        <v>14.66</v>
      </c>
      <c r="P551" s="185"/>
      <c r="Q551" s="185"/>
    </row>
    <row r="552" spans="5:17" hidden="1" outlineLevel="1">
      <c r="E552" s="20"/>
      <c r="F552" s="21"/>
      <c r="G552" s="22"/>
      <c r="H552" s="30" t="s">
        <v>2883</v>
      </c>
      <c r="I552" s="22">
        <v>35.51</v>
      </c>
      <c r="J552" s="32"/>
      <c r="K552" s="10"/>
      <c r="L552" s="32"/>
      <c r="M552" s="10"/>
      <c r="N552" s="33">
        <f t="shared" si="26"/>
        <v>35.51</v>
      </c>
      <c r="O552" s="58">
        <f t="shared" si="27"/>
        <v>35.51</v>
      </c>
      <c r="P552" s="185"/>
      <c r="Q552" s="185"/>
    </row>
    <row r="553" spans="5:17" hidden="1" outlineLevel="1">
      <c r="E553" s="20"/>
      <c r="F553" s="21"/>
      <c r="G553" s="22"/>
      <c r="H553" s="30" t="s">
        <v>2997</v>
      </c>
      <c r="I553" s="22">
        <v>17.36</v>
      </c>
      <c r="J553" s="32"/>
      <c r="K553" s="10"/>
      <c r="L553" s="32"/>
      <c r="M553" s="10"/>
      <c r="N553" s="33">
        <f t="shared" si="26"/>
        <v>17.36</v>
      </c>
      <c r="O553" s="58">
        <f t="shared" si="27"/>
        <v>17.36</v>
      </c>
      <c r="P553" s="185"/>
      <c r="Q553" s="185"/>
    </row>
    <row r="554" spans="5:17" hidden="1" outlineLevel="1">
      <c r="E554" s="20"/>
      <c r="F554" s="21"/>
      <c r="G554" s="22"/>
      <c r="H554" s="30" t="s">
        <v>2998</v>
      </c>
      <c r="I554" s="22">
        <v>60.62</v>
      </c>
      <c r="J554" s="32"/>
      <c r="K554" s="10"/>
      <c r="L554" s="32"/>
      <c r="M554" s="10"/>
      <c r="N554" s="33">
        <f t="shared" si="26"/>
        <v>60.62</v>
      </c>
      <c r="O554" s="58">
        <f t="shared" si="27"/>
        <v>60.62</v>
      </c>
      <c r="P554" s="185"/>
      <c r="Q554" s="185"/>
    </row>
    <row r="555" spans="5:17" hidden="1" outlineLevel="1">
      <c r="E555" s="20"/>
      <c r="F555" s="21"/>
      <c r="G555" s="22"/>
      <c r="H555" s="30" t="s">
        <v>2886</v>
      </c>
      <c r="I555" s="22">
        <v>60.62</v>
      </c>
      <c r="J555" s="32"/>
      <c r="K555" s="10"/>
      <c r="L555" s="32"/>
      <c r="M555" s="10"/>
      <c r="N555" s="33">
        <f t="shared" si="26"/>
        <v>60.62</v>
      </c>
      <c r="O555" s="58">
        <f t="shared" si="27"/>
        <v>60.62</v>
      </c>
      <c r="P555" s="185"/>
      <c r="Q555" s="185"/>
    </row>
    <row r="556" spans="5:17" hidden="1" outlineLevel="1">
      <c r="E556" s="20"/>
      <c r="F556" s="21"/>
      <c r="G556" s="22"/>
      <c r="H556" s="30" t="s">
        <v>2887</v>
      </c>
      <c r="I556" s="22">
        <v>16.100000000000001</v>
      </c>
      <c r="J556" s="32"/>
      <c r="K556" s="10"/>
      <c r="L556" s="32"/>
      <c r="M556" s="10"/>
      <c r="N556" s="33">
        <f t="shared" si="26"/>
        <v>16.100000000000001</v>
      </c>
      <c r="O556" s="58">
        <f t="shared" si="27"/>
        <v>16.100000000000001</v>
      </c>
      <c r="P556" s="185"/>
      <c r="Q556" s="185"/>
    </row>
    <row r="557" spans="5:17" hidden="1" outlineLevel="1">
      <c r="E557" s="20"/>
      <c r="F557" s="21"/>
      <c r="G557" s="22"/>
      <c r="H557" s="30" t="s">
        <v>2999</v>
      </c>
      <c r="I557" s="22">
        <v>413.1</v>
      </c>
      <c r="J557" s="32"/>
      <c r="K557" s="10"/>
      <c r="L557" s="32"/>
      <c r="M557" s="10"/>
      <c r="N557" s="33">
        <f t="shared" si="26"/>
        <v>413.1</v>
      </c>
      <c r="O557" s="104">
        <f t="shared" si="27"/>
        <v>413.1</v>
      </c>
      <c r="P557" s="185"/>
      <c r="Q557" s="185"/>
    </row>
    <row r="558" spans="5:17" hidden="1" outlineLevel="1">
      <c r="E558" s="20"/>
      <c r="F558" s="21"/>
      <c r="G558" s="22"/>
      <c r="H558" s="30" t="s">
        <v>3001</v>
      </c>
      <c r="I558" s="22">
        <v>11.6</v>
      </c>
      <c r="J558" s="32"/>
      <c r="K558" s="10"/>
      <c r="L558" s="32"/>
      <c r="M558" s="10"/>
      <c r="N558" s="33">
        <f t="shared" si="26"/>
        <v>11.6</v>
      </c>
      <c r="O558" s="58">
        <f t="shared" si="27"/>
        <v>11.6</v>
      </c>
      <c r="P558" s="185"/>
      <c r="Q558" s="185"/>
    </row>
    <row r="559" spans="5:17" hidden="1" outlineLevel="1">
      <c r="E559" s="20"/>
      <c r="F559" s="21"/>
      <c r="G559" s="22"/>
      <c r="H559" s="30" t="s">
        <v>3002</v>
      </c>
      <c r="I559" s="22">
        <v>17.5</v>
      </c>
      <c r="J559" s="32"/>
      <c r="K559" s="10"/>
      <c r="L559" s="32"/>
      <c r="M559" s="10"/>
      <c r="N559" s="33">
        <f t="shared" si="26"/>
        <v>17.5</v>
      </c>
      <c r="O559" s="58">
        <f t="shared" si="27"/>
        <v>17.5</v>
      </c>
      <c r="P559" s="185"/>
      <c r="Q559" s="185"/>
    </row>
    <row r="560" spans="5:17" hidden="1" outlineLevel="1">
      <c r="E560" s="20"/>
      <c r="F560" s="21"/>
      <c r="G560" s="22"/>
      <c r="H560" s="30" t="s">
        <v>3003</v>
      </c>
      <c r="I560" s="22">
        <v>11.6</v>
      </c>
      <c r="J560" s="32"/>
      <c r="K560" s="10"/>
      <c r="L560" s="32"/>
      <c r="M560" s="10"/>
      <c r="N560" s="33">
        <f t="shared" si="26"/>
        <v>11.6</v>
      </c>
      <c r="O560" s="58">
        <f t="shared" si="27"/>
        <v>11.6</v>
      </c>
      <c r="P560" s="185"/>
      <c r="Q560" s="185"/>
    </row>
    <row r="561" spans="5:17" hidden="1" outlineLevel="1">
      <c r="E561" s="20"/>
      <c r="F561" s="21"/>
      <c r="G561" s="22"/>
      <c r="H561" s="30" t="s">
        <v>3004</v>
      </c>
      <c r="I561" s="22">
        <v>17.5</v>
      </c>
      <c r="J561" s="32"/>
      <c r="K561" s="10"/>
      <c r="L561" s="32"/>
      <c r="M561" s="10"/>
      <c r="N561" s="33">
        <f t="shared" si="26"/>
        <v>17.5</v>
      </c>
      <c r="O561" s="58">
        <f t="shared" si="27"/>
        <v>17.5</v>
      </c>
      <c r="P561" s="185"/>
      <c r="Q561" s="185"/>
    </row>
    <row r="562" spans="5:17" hidden="1" outlineLevel="1">
      <c r="E562" s="20"/>
      <c r="F562" s="21"/>
      <c r="G562" s="22"/>
      <c r="H562" s="30" t="s">
        <v>2901</v>
      </c>
      <c r="I562" s="22">
        <v>60.62</v>
      </c>
      <c r="J562" s="32"/>
      <c r="K562" s="10"/>
      <c r="L562" s="32"/>
      <c r="M562" s="10"/>
      <c r="N562" s="33">
        <f t="shared" si="26"/>
        <v>60.62</v>
      </c>
      <c r="O562" s="58">
        <f t="shared" si="27"/>
        <v>60.62</v>
      </c>
      <c r="P562" s="185"/>
      <c r="Q562" s="185"/>
    </row>
    <row r="563" spans="5:17" hidden="1" outlineLevel="1">
      <c r="E563" s="20"/>
      <c r="F563" s="21"/>
      <c r="G563" s="22"/>
      <c r="H563" s="30" t="s">
        <v>3006</v>
      </c>
      <c r="I563" s="22">
        <v>8.36</v>
      </c>
      <c r="J563" s="32"/>
      <c r="K563" s="10"/>
      <c r="L563" s="32"/>
      <c r="M563" s="10"/>
      <c r="N563" s="33">
        <f t="shared" si="26"/>
        <v>8.36</v>
      </c>
      <c r="O563" s="58">
        <f t="shared" si="27"/>
        <v>8.36</v>
      </c>
      <c r="P563" s="185"/>
      <c r="Q563" s="185"/>
    </row>
    <row r="564" spans="5:17" hidden="1" outlineLevel="1">
      <c r="E564" s="20"/>
      <c r="F564" s="21"/>
      <c r="G564" s="22"/>
      <c r="H564" s="30" t="s">
        <v>3007</v>
      </c>
      <c r="I564" s="22">
        <v>8.36</v>
      </c>
      <c r="J564" s="32"/>
      <c r="K564" s="10"/>
      <c r="L564" s="32"/>
      <c r="M564" s="10"/>
      <c r="N564" s="33">
        <f t="shared" si="26"/>
        <v>8.36</v>
      </c>
      <c r="O564" s="58">
        <f t="shared" si="27"/>
        <v>8.36</v>
      </c>
      <c r="P564" s="185"/>
      <c r="Q564" s="185"/>
    </row>
    <row r="565" spans="5:17" hidden="1" outlineLevel="1">
      <c r="E565" s="20"/>
      <c r="F565" s="21"/>
      <c r="G565" s="22"/>
      <c r="H565" s="30" t="s">
        <v>3008</v>
      </c>
      <c r="I565" s="22">
        <v>7.2</v>
      </c>
      <c r="J565" s="32"/>
      <c r="K565" s="10"/>
      <c r="L565" s="32"/>
      <c r="M565" s="10"/>
      <c r="N565" s="33">
        <f t="shared" si="26"/>
        <v>7.2</v>
      </c>
      <c r="O565" s="58">
        <f t="shared" si="27"/>
        <v>7.2</v>
      </c>
      <c r="P565" s="185"/>
      <c r="Q565" s="185"/>
    </row>
    <row r="566" spans="5:17" hidden="1" outlineLevel="1">
      <c r="E566" s="20"/>
      <c r="F566" s="21"/>
      <c r="G566" s="22"/>
      <c r="H566" s="24" t="s">
        <v>2910</v>
      </c>
      <c r="I566" s="22"/>
      <c r="J566" s="32"/>
      <c r="K566" s="10"/>
      <c r="L566" s="32"/>
      <c r="M566" s="10"/>
      <c r="N566" s="33"/>
      <c r="O566" s="27"/>
      <c r="P566" s="185"/>
      <c r="Q566" s="185"/>
    </row>
    <row r="567" spans="5:17" hidden="1" outlineLevel="1">
      <c r="E567" s="20"/>
      <c r="F567" s="21"/>
      <c r="G567" s="22"/>
      <c r="H567" s="30" t="s">
        <v>3018</v>
      </c>
      <c r="I567" s="22">
        <v>60.63</v>
      </c>
      <c r="J567" s="32"/>
      <c r="K567" s="10"/>
      <c r="L567" s="32"/>
      <c r="M567" s="10"/>
      <c r="N567" s="33">
        <f t="shared" ref="N567:N578" si="28">I567</f>
        <v>60.63</v>
      </c>
      <c r="O567" s="58">
        <f t="shared" ref="O567:O578" si="29">ROUND(PRODUCT(J567:N567),2)</f>
        <v>60.63</v>
      </c>
      <c r="P567" s="185"/>
      <c r="Q567" s="185"/>
    </row>
    <row r="568" spans="5:17" hidden="1" outlineLevel="1">
      <c r="E568" s="20"/>
      <c r="F568" s="21"/>
      <c r="G568" s="22"/>
      <c r="H568" s="30" t="s">
        <v>3019</v>
      </c>
      <c r="I568" s="22">
        <v>60.63</v>
      </c>
      <c r="J568" s="32"/>
      <c r="K568" s="10"/>
      <c r="L568" s="32"/>
      <c r="M568" s="10"/>
      <c r="N568" s="33">
        <f t="shared" si="28"/>
        <v>60.63</v>
      </c>
      <c r="O568" s="58">
        <f t="shared" si="29"/>
        <v>60.63</v>
      </c>
      <c r="P568" s="185"/>
      <c r="Q568" s="185"/>
    </row>
    <row r="569" spans="5:17" hidden="1" outlineLevel="1">
      <c r="E569" s="20"/>
      <c r="F569" s="21"/>
      <c r="G569" s="22"/>
      <c r="H569" s="30" t="s">
        <v>3020</v>
      </c>
      <c r="I569" s="22">
        <v>60.63</v>
      </c>
      <c r="J569" s="32"/>
      <c r="K569" s="10"/>
      <c r="L569" s="32"/>
      <c r="M569" s="10"/>
      <c r="N569" s="33">
        <f t="shared" si="28"/>
        <v>60.63</v>
      </c>
      <c r="O569" s="58">
        <f t="shared" si="29"/>
        <v>60.63</v>
      </c>
      <c r="P569" s="185"/>
      <c r="Q569" s="185"/>
    </row>
    <row r="570" spans="5:17" hidden="1" outlineLevel="1">
      <c r="E570" s="20"/>
      <c r="F570" s="21"/>
      <c r="G570" s="22"/>
      <c r="H570" s="30" t="s">
        <v>3021</v>
      </c>
      <c r="I570" s="22">
        <v>60.63</v>
      </c>
      <c r="J570" s="32"/>
      <c r="K570" s="10"/>
      <c r="L570" s="32"/>
      <c r="M570" s="10"/>
      <c r="N570" s="33">
        <f t="shared" si="28"/>
        <v>60.63</v>
      </c>
      <c r="O570" s="58">
        <f t="shared" si="29"/>
        <v>60.63</v>
      </c>
      <c r="P570" s="185"/>
      <c r="Q570" s="185"/>
    </row>
    <row r="571" spans="5:17" hidden="1" outlineLevel="1">
      <c r="E571" s="20"/>
      <c r="F571" s="21"/>
      <c r="G571" s="22"/>
      <c r="H571" s="30" t="s">
        <v>3022</v>
      </c>
      <c r="I571" s="22">
        <v>60.63</v>
      </c>
      <c r="J571" s="32"/>
      <c r="K571" s="10"/>
      <c r="L571" s="32"/>
      <c r="M571" s="10"/>
      <c r="N571" s="33">
        <f t="shared" si="28"/>
        <v>60.63</v>
      </c>
      <c r="O571" s="58">
        <f t="shared" si="29"/>
        <v>60.63</v>
      </c>
      <c r="P571" s="185"/>
      <c r="Q571" s="185"/>
    </row>
    <row r="572" spans="5:17" hidden="1" outlineLevel="1">
      <c r="E572" s="20"/>
      <c r="F572" s="21"/>
      <c r="G572" s="22"/>
      <c r="H572" s="30" t="s">
        <v>3023</v>
      </c>
      <c r="I572" s="22">
        <v>60.62</v>
      </c>
      <c r="J572" s="32"/>
      <c r="K572" s="10"/>
      <c r="L572" s="32"/>
      <c r="M572" s="10"/>
      <c r="N572" s="33">
        <f t="shared" si="28"/>
        <v>60.62</v>
      </c>
      <c r="O572" s="58">
        <f t="shared" si="29"/>
        <v>60.62</v>
      </c>
      <c r="P572" s="185"/>
      <c r="Q572" s="185"/>
    </row>
    <row r="573" spans="5:17" hidden="1" outlineLevel="1">
      <c r="E573" s="20"/>
      <c r="F573" s="21"/>
      <c r="G573" s="22"/>
      <c r="H573" s="30" t="s">
        <v>3024</v>
      </c>
      <c r="I573" s="22">
        <v>60.62</v>
      </c>
      <c r="J573" s="32"/>
      <c r="K573" s="10"/>
      <c r="L573" s="32"/>
      <c r="M573" s="10"/>
      <c r="N573" s="33">
        <f t="shared" si="28"/>
        <v>60.62</v>
      </c>
      <c r="O573" s="58">
        <f t="shared" si="29"/>
        <v>60.62</v>
      </c>
      <c r="P573" s="185"/>
      <c r="Q573" s="185"/>
    </row>
    <row r="574" spans="5:17" hidden="1" outlineLevel="1">
      <c r="E574" s="20"/>
      <c r="F574" s="21"/>
      <c r="G574" s="22"/>
      <c r="H574" s="30" t="s">
        <v>3025</v>
      </c>
      <c r="I574" s="22">
        <v>60.63</v>
      </c>
      <c r="J574" s="32"/>
      <c r="K574" s="100"/>
      <c r="L574" s="32"/>
      <c r="M574" s="10"/>
      <c r="N574" s="33">
        <f t="shared" si="28"/>
        <v>60.63</v>
      </c>
      <c r="O574" s="58">
        <f t="shared" si="29"/>
        <v>60.63</v>
      </c>
      <c r="P574" s="185"/>
      <c r="Q574" s="185"/>
    </row>
    <row r="575" spans="5:17" hidden="1" outlineLevel="1">
      <c r="E575" s="20"/>
      <c r="F575" s="21"/>
      <c r="G575" s="22"/>
      <c r="H575" s="30" t="s">
        <v>3026</v>
      </c>
      <c r="I575" s="22">
        <v>60.63</v>
      </c>
      <c r="J575" s="32"/>
      <c r="K575" s="10"/>
      <c r="L575" s="32"/>
      <c r="M575" s="10"/>
      <c r="N575" s="33">
        <f t="shared" si="28"/>
        <v>60.63</v>
      </c>
      <c r="O575" s="58">
        <f t="shared" si="29"/>
        <v>60.63</v>
      </c>
      <c r="P575" s="185"/>
      <c r="Q575" s="185"/>
    </row>
    <row r="576" spans="5:17" hidden="1" outlineLevel="1">
      <c r="E576" s="20"/>
      <c r="F576" s="21"/>
      <c r="G576" s="22"/>
      <c r="H576" s="30" t="s">
        <v>3027</v>
      </c>
      <c r="I576" s="22">
        <v>60.63</v>
      </c>
      <c r="J576" s="32"/>
      <c r="K576" s="10"/>
      <c r="L576" s="32"/>
      <c r="M576" s="10"/>
      <c r="N576" s="33">
        <f t="shared" si="28"/>
        <v>60.63</v>
      </c>
      <c r="O576" s="58">
        <f t="shared" si="29"/>
        <v>60.63</v>
      </c>
      <c r="P576" s="185"/>
      <c r="Q576" s="185"/>
    </row>
    <row r="577" spans="1:17" hidden="1" outlineLevel="1">
      <c r="E577" s="20"/>
      <c r="F577" s="21"/>
      <c r="G577" s="22"/>
      <c r="H577" s="30" t="s">
        <v>3028</v>
      </c>
      <c r="I577" s="22">
        <v>60.63</v>
      </c>
      <c r="J577" s="32"/>
      <c r="K577" s="10"/>
      <c r="L577" s="32"/>
      <c r="M577" s="10"/>
      <c r="N577" s="33">
        <f t="shared" si="28"/>
        <v>60.63</v>
      </c>
      <c r="O577" s="58">
        <f t="shared" si="29"/>
        <v>60.63</v>
      </c>
      <c r="P577" s="185"/>
      <c r="Q577" s="185"/>
    </row>
    <row r="578" spans="1:17" hidden="1" outlineLevel="1">
      <c r="E578" s="20"/>
      <c r="F578" s="21"/>
      <c r="G578" s="22"/>
      <c r="H578" s="30" t="s">
        <v>3029</v>
      </c>
      <c r="I578" s="22">
        <v>60.63</v>
      </c>
      <c r="J578" s="32"/>
      <c r="K578" s="10"/>
      <c r="L578" s="32"/>
      <c r="M578" s="10"/>
      <c r="N578" s="33">
        <f t="shared" si="28"/>
        <v>60.63</v>
      </c>
      <c r="O578" s="58">
        <f t="shared" si="29"/>
        <v>60.63</v>
      </c>
      <c r="P578" s="185"/>
      <c r="Q578" s="185"/>
    </row>
    <row r="579" spans="1:17" hidden="1" outlineLevel="1">
      <c r="E579" s="20"/>
      <c r="F579" s="21"/>
      <c r="G579" s="22"/>
      <c r="H579" s="30" t="s">
        <v>2999</v>
      </c>
      <c r="I579" s="22">
        <v>246.19</v>
      </c>
      <c r="J579" s="32"/>
      <c r="K579" s="10"/>
      <c r="L579" s="32"/>
      <c r="M579" s="10"/>
      <c r="N579" s="33">
        <v>255.31</v>
      </c>
      <c r="O579" s="104">
        <v>255.31</v>
      </c>
      <c r="P579" s="185"/>
      <c r="Q579" s="185"/>
    </row>
    <row r="580" spans="1:17" hidden="1" outlineLevel="1">
      <c r="E580" s="20"/>
      <c r="F580" s="21"/>
      <c r="G580" s="22"/>
      <c r="H580" s="30" t="s">
        <v>3030</v>
      </c>
      <c r="I580" s="22">
        <v>7.44</v>
      </c>
      <c r="J580" s="32"/>
      <c r="K580" s="10"/>
      <c r="L580" s="32"/>
      <c r="M580" s="10"/>
      <c r="N580" s="33">
        <f>I580</f>
        <v>7.44</v>
      </c>
      <c r="O580" s="58">
        <f>ROUND(PRODUCT(J580:N580),2)</f>
        <v>7.44</v>
      </c>
      <c r="P580" s="185"/>
      <c r="Q580" s="185"/>
    </row>
    <row r="581" spans="1:17" hidden="1" outlineLevel="1">
      <c r="E581" s="20"/>
      <c r="F581" s="21"/>
      <c r="G581" s="22"/>
      <c r="H581" s="30" t="s">
        <v>2906</v>
      </c>
      <c r="I581" s="22">
        <v>85.75</v>
      </c>
      <c r="J581" s="32"/>
      <c r="K581" s="10"/>
      <c r="L581" s="32"/>
      <c r="M581" s="10"/>
      <c r="N581" s="33">
        <f>I581</f>
        <v>85.75</v>
      </c>
      <c r="O581" s="58">
        <f>ROUND(PRODUCT(J581:N581),2)</f>
        <v>85.75</v>
      </c>
      <c r="P581" s="185"/>
      <c r="Q581" s="185"/>
    </row>
    <row r="582" spans="1:17" hidden="1" outlineLevel="1">
      <c r="E582" s="20"/>
      <c r="F582" s="21"/>
      <c r="G582" s="22"/>
      <c r="H582" s="30"/>
      <c r="I582" s="22"/>
      <c r="J582" s="32"/>
      <c r="K582" s="10"/>
      <c r="L582" s="32"/>
      <c r="M582" s="10"/>
      <c r="N582" s="33"/>
      <c r="O582" s="58"/>
      <c r="P582" s="185"/>
      <c r="Q582" s="185"/>
    </row>
    <row r="583" spans="1:17" ht="45" hidden="1" outlineLevel="1">
      <c r="A583" s="2">
        <v>5</v>
      </c>
      <c r="B583" s="2">
        <v>6</v>
      </c>
      <c r="C583" s="2">
        <f>1+C542</f>
        <v>5</v>
      </c>
      <c r="E583" s="20" t="str">
        <f>CONCATENATE(A583,".",B583,".",C583)</f>
        <v>5.6.5</v>
      </c>
      <c r="F583" s="21" t="s">
        <v>3031</v>
      </c>
      <c r="G583" s="22" t="s">
        <v>218</v>
      </c>
      <c r="H583" s="23" t="s">
        <v>219</v>
      </c>
      <c r="I583" s="24" t="s">
        <v>45</v>
      </c>
      <c r="J583" s="32"/>
      <c r="K583" s="10"/>
      <c r="L583" s="32"/>
      <c r="M583" s="10"/>
      <c r="N583" s="33"/>
      <c r="O583" s="27">
        <f>SUM(O586:O598,O600:O603)</f>
        <v>302.52</v>
      </c>
      <c r="P583" s="185"/>
      <c r="Q583" s="185"/>
    </row>
    <row r="584" spans="1:17" hidden="1" outlineLevel="1">
      <c r="E584" s="20"/>
      <c r="F584" s="21"/>
      <c r="G584" s="22"/>
      <c r="H584" s="24" t="s">
        <v>2873</v>
      </c>
      <c r="I584" s="22"/>
      <c r="J584" s="32"/>
      <c r="K584" s="10"/>
      <c r="L584" s="32"/>
      <c r="M584" s="10"/>
      <c r="N584" s="33"/>
      <c r="O584" s="27"/>
      <c r="P584" s="185"/>
      <c r="Q584" s="185"/>
    </row>
    <row r="585" spans="1:17" hidden="1" outlineLevel="1">
      <c r="E585" s="20"/>
      <c r="F585" s="21"/>
      <c r="G585" s="22"/>
      <c r="H585" s="30" t="s">
        <v>2993</v>
      </c>
      <c r="I585" s="22">
        <v>5.76</v>
      </c>
      <c r="J585" s="32"/>
      <c r="K585" s="10"/>
      <c r="L585" s="32"/>
      <c r="M585" s="10"/>
      <c r="N585" s="33">
        <f>I585</f>
        <v>5.76</v>
      </c>
      <c r="O585" s="58">
        <f>ROUND(PRODUCT(J585:N585),2)</f>
        <v>5.76</v>
      </c>
      <c r="P585" s="185"/>
      <c r="Q585" s="185"/>
    </row>
    <row r="586" spans="1:17" hidden="1" outlineLevel="1">
      <c r="E586" s="20"/>
      <c r="F586" s="21"/>
      <c r="G586" s="22"/>
      <c r="H586" s="30" t="s">
        <v>2994</v>
      </c>
      <c r="I586" s="22">
        <v>3.43</v>
      </c>
      <c r="J586" s="32"/>
      <c r="K586" s="10"/>
      <c r="L586" s="32"/>
      <c r="M586" s="10"/>
      <c r="N586" s="33">
        <f t="shared" ref="N586:N595" si="30">I586</f>
        <v>3.43</v>
      </c>
      <c r="O586" s="58">
        <f t="shared" ref="O586:O595" si="31">ROUND(PRODUCT(J586:N586),2)</f>
        <v>3.43</v>
      </c>
      <c r="P586" s="185"/>
      <c r="Q586" s="185"/>
    </row>
    <row r="587" spans="1:17" hidden="1" outlineLevel="1">
      <c r="E587" s="20"/>
      <c r="F587" s="21"/>
      <c r="G587" s="22"/>
      <c r="H587" s="30" t="s">
        <v>2995</v>
      </c>
      <c r="I587" s="22">
        <v>3.43</v>
      </c>
      <c r="J587" s="32"/>
      <c r="K587" s="10"/>
      <c r="L587" s="32"/>
      <c r="M587" s="10"/>
      <c r="N587" s="33">
        <f t="shared" si="30"/>
        <v>3.43</v>
      </c>
      <c r="O587" s="58">
        <f t="shared" si="31"/>
        <v>3.43</v>
      </c>
      <c r="P587" s="185"/>
      <c r="Q587" s="185"/>
    </row>
    <row r="588" spans="1:17" hidden="1" outlineLevel="1">
      <c r="E588" s="20"/>
      <c r="F588" s="21"/>
      <c r="G588" s="22"/>
      <c r="H588" s="30" t="s">
        <v>2880</v>
      </c>
      <c r="I588" s="22">
        <v>10.42</v>
      </c>
      <c r="J588" s="32"/>
      <c r="K588" s="10"/>
      <c r="L588" s="32"/>
      <c r="M588" s="10"/>
      <c r="N588" s="33">
        <f t="shared" si="30"/>
        <v>10.42</v>
      </c>
      <c r="O588" s="58">
        <f t="shared" si="31"/>
        <v>10.42</v>
      </c>
      <c r="P588" s="185"/>
      <c r="Q588" s="185"/>
    </row>
    <row r="589" spans="1:17" hidden="1" outlineLevel="1">
      <c r="E589" s="20"/>
      <c r="F589" s="21"/>
      <c r="G589" s="22"/>
      <c r="H589" s="30" t="s">
        <v>3000</v>
      </c>
      <c r="I589" s="22">
        <v>60.62</v>
      </c>
      <c r="J589" s="32"/>
      <c r="K589" s="10"/>
      <c r="L589" s="32"/>
      <c r="M589" s="10"/>
      <c r="N589" s="33">
        <f t="shared" si="30"/>
        <v>60.62</v>
      </c>
      <c r="O589" s="58">
        <f t="shared" si="31"/>
        <v>60.62</v>
      </c>
      <c r="P589" s="185"/>
      <c r="Q589" s="185"/>
    </row>
    <row r="590" spans="1:17" hidden="1" outlineLevel="1">
      <c r="E590" s="20"/>
      <c r="F590" s="21"/>
      <c r="G590" s="22"/>
      <c r="H590" s="30" t="s">
        <v>2897</v>
      </c>
      <c r="I590" s="22">
        <v>60.62</v>
      </c>
      <c r="J590" s="32"/>
      <c r="K590" s="10"/>
      <c r="L590" s="32"/>
      <c r="M590" s="10"/>
      <c r="N590" s="33">
        <f t="shared" si="30"/>
        <v>60.62</v>
      </c>
      <c r="O590" s="58">
        <f t="shared" si="31"/>
        <v>60.62</v>
      </c>
      <c r="P590" s="185"/>
      <c r="Q590" s="185"/>
    </row>
    <row r="591" spans="1:17" hidden="1" outlineLevel="1">
      <c r="E591" s="20"/>
      <c r="F591" s="21"/>
      <c r="G591" s="22"/>
      <c r="H591" s="30" t="s">
        <v>2898</v>
      </c>
      <c r="I591" s="22">
        <v>60.62</v>
      </c>
      <c r="J591" s="32"/>
      <c r="K591" s="10"/>
      <c r="L591" s="32"/>
      <c r="M591" s="10"/>
      <c r="N591" s="33">
        <f t="shared" si="30"/>
        <v>60.62</v>
      </c>
      <c r="O591" s="58">
        <f t="shared" si="31"/>
        <v>60.62</v>
      </c>
      <c r="P591" s="185"/>
      <c r="Q591" s="185"/>
    </row>
    <row r="592" spans="1:17" hidden="1" outlineLevel="1">
      <c r="E592" s="20"/>
      <c r="F592" s="21"/>
      <c r="G592" s="22"/>
      <c r="H592" s="30" t="s">
        <v>2878</v>
      </c>
      <c r="I592" s="22">
        <v>3.58</v>
      </c>
      <c r="J592" s="32"/>
      <c r="K592" s="10"/>
      <c r="L592" s="32"/>
      <c r="M592" s="10"/>
      <c r="N592" s="33">
        <f t="shared" si="30"/>
        <v>3.58</v>
      </c>
      <c r="O592" s="58">
        <f t="shared" si="31"/>
        <v>3.58</v>
      </c>
      <c r="P592" s="185"/>
      <c r="Q592" s="185"/>
    </row>
    <row r="593" spans="1:18" hidden="1" outlineLevel="1">
      <c r="E593" s="20"/>
      <c r="F593" s="21"/>
      <c r="G593" s="22"/>
      <c r="H593" s="30" t="s">
        <v>2879</v>
      </c>
      <c r="I593" s="22">
        <v>3.58</v>
      </c>
      <c r="J593" s="32"/>
      <c r="K593" s="10"/>
      <c r="L593" s="32"/>
      <c r="M593" s="10"/>
      <c r="N593" s="33">
        <f t="shared" si="30"/>
        <v>3.58</v>
      </c>
      <c r="O593" s="58">
        <f t="shared" si="31"/>
        <v>3.58</v>
      </c>
      <c r="P593" s="185"/>
      <c r="Q593" s="185"/>
    </row>
    <row r="594" spans="1:18" hidden="1" outlineLevel="1">
      <c r="E594" s="20"/>
      <c r="F594" s="21"/>
      <c r="G594" s="22"/>
      <c r="H594" s="30" t="s">
        <v>2904</v>
      </c>
      <c r="I594" s="22">
        <v>15.04</v>
      </c>
      <c r="J594" s="32"/>
      <c r="K594" s="10"/>
      <c r="L594" s="32"/>
      <c r="M594" s="10"/>
      <c r="N594" s="33">
        <f t="shared" si="30"/>
        <v>15.04</v>
      </c>
      <c r="O594" s="58">
        <f t="shared" si="31"/>
        <v>15.04</v>
      </c>
      <c r="P594" s="185"/>
      <c r="Q594" s="185"/>
    </row>
    <row r="595" spans="1:18" hidden="1" outlineLevel="1">
      <c r="E595" s="20"/>
      <c r="F595" s="21"/>
      <c r="G595" s="22"/>
      <c r="H595" s="30" t="s">
        <v>3005</v>
      </c>
      <c r="I595" s="22">
        <v>15.04</v>
      </c>
      <c r="J595" s="32"/>
      <c r="K595" s="10"/>
      <c r="L595" s="32"/>
      <c r="M595" s="10"/>
      <c r="N595" s="33">
        <f t="shared" si="30"/>
        <v>15.04</v>
      </c>
      <c r="O595" s="58">
        <f t="shared" si="31"/>
        <v>15.04</v>
      </c>
      <c r="P595" s="185"/>
      <c r="Q595" s="185"/>
    </row>
    <row r="596" spans="1:18" hidden="1" outlineLevel="1">
      <c r="E596" s="20"/>
      <c r="F596" s="21"/>
      <c r="G596" s="22"/>
      <c r="H596" s="30" t="s">
        <v>3032</v>
      </c>
      <c r="I596" s="22">
        <v>3.33</v>
      </c>
      <c r="J596" s="32"/>
      <c r="K596" s="10"/>
      <c r="L596" s="32"/>
      <c r="M596" s="10"/>
      <c r="N596" s="33">
        <f>I596</f>
        <v>3.33</v>
      </c>
      <c r="O596" s="58">
        <f>ROUND(PRODUCT(J596:N596),2)</f>
        <v>3.33</v>
      </c>
      <c r="P596" s="185"/>
      <c r="Q596" s="185"/>
    </row>
    <row r="597" spans="1:18" hidden="1" outlineLevel="1">
      <c r="E597" s="20"/>
      <c r="F597" s="21"/>
      <c r="G597" s="22"/>
      <c r="H597" s="30" t="s">
        <v>3012</v>
      </c>
      <c r="I597" s="22">
        <v>6.07</v>
      </c>
      <c r="J597" s="32"/>
      <c r="K597" s="10"/>
      <c r="L597" s="32"/>
      <c r="M597" s="10"/>
      <c r="N597" s="33">
        <f>I597</f>
        <v>6.07</v>
      </c>
      <c r="O597" s="58">
        <f>ROUND(PRODUCT(J597:N597),2)</f>
        <v>6.07</v>
      </c>
      <c r="P597" s="185"/>
      <c r="Q597" s="185"/>
    </row>
    <row r="598" spans="1:18" hidden="1" outlineLevel="1">
      <c r="E598" s="20"/>
      <c r="F598" s="21"/>
      <c r="G598" s="22"/>
      <c r="H598" s="30" t="s">
        <v>3033</v>
      </c>
      <c r="I598" s="22">
        <v>6.07</v>
      </c>
      <c r="J598" s="32"/>
      <c r="K598" s="10"/>
      <c r="L598" s="32"/>
      <c r="M598" s="10"/>
      <c r="N598" s="33">
        <f>I598</f>
        <v>6.07</v>
      </c>
      <c r="O598" s="58">
        <f>ROUND(PRODUCT(J598:N598),2)</f>
        <v>6.07</v>
      </c>
      <c r="P598" s="185"/>
      <c r="Q598" s="185"/>
    </row>
    <row r="599" spans="1:18" hidden="1" outlineLevel="1">
      <c r="E599" s="20"/>
      <c r="F599" s="21"/>
      <c r="G599" s="22"/>
      <c r="H599" s="24" t="s">
        <v>2910</v>
      </c>
      <c r="I599" s="22"/>
      <c r="J599" s="32"/>
      <c r="K599" s="10"/>
      <c r="L599" s="32"/>
      <c r="M599" s="10"/>
      <c r="N599" s="33"/>
      <c r="O599" s="27"/>
      <c r="P599" s="185"/>
      <c r="Q599" s="185"/>
    </row>
    <row r="600" spans="1:18" hidden="1" outlineLevel="1">
      <c r="E600" s="20"/>
      <c r="F600" s="21"/>
      <c r="G600" s="22"/>
      <c r="H600" s="30" t="s">
        <v>2878</v>
      </c>
      <c r="I600" s="22">
        <v>4.3499999999999996</v>
      </c>
      <c r="J600" s="32"/>
      <c r="K600" s="10"/>
      <c r="L600" s="32"/>
      <c r="M600" s="10"/>
      <c r="N600" s="33">
        <f>I600</f>
        <v>4.3499999999999996</v>
      </c>
      <c r="O600" s="58">
        <f>ROUND(PRODUCT(J600:N600),2)</f>
        <v>4.3499999999999996</v>
      </c>
      <c r="P600" s="185"/>
      <c r="Q600" s="185"/>
    </row>
    <row r="601" spans="1:18" hidden="1" outlineLevel="1">
      <c r="E601" s="20"/>
      <c r="F601" s="21"/>
      <c r="G601" s="22"/>
      <c r="H601" s="30" t="s">
        <v>2879</v>
      </c>
      <c r="I601" s="22">
        <v>3.78</v>
      </c>
      <c r="J601" s="32"/>
      <c r="K601" s="10"/>
      <c r="L601" s="32"/>
      <c r="M601" s="10"/>
      <c r="N601" s="33">
        <f>I601</f>
        <v>3.78</v>
      </c>
      <c r="O601" s="58">
        <f>ROUND(PRODUCT(J601:N601),2)</f>
        <v>3.78</v>
      </c>
      <c r="P601" s="185"/>
      <c r="Q601" s="185"/>
    </row>
    <row r="602" spans="1:18" hidden="1" outlineLevel="1">
      <c r="E602" s="20"/>
      <c r="F602" s="21"/>
      <c r="G602" s="22"/>
      <c r="H602" s="30" t="s">
        <v>3034</v>
      </c>
      <c r="I602" s="22">
        <v>21.27</v>
      </c>
      <c r="J602" s="32"/>
      <c r="K602" s="10"/>
      <c r="L602" s="32"/>
      <c r="M602" s="10"/>
      <c r="N602" s="33">
        <f>I602</f>
        <v>21.27</v>
      </c>
      <c r="O602" s="58">
        <f>ROUND(PRODUCT(J602:N602),2)</f>
        <v>21.27</v>
      </c>
      <c r="P602" s="185"/>
      <c r="Q602" s="185"/>
    </row>
    <row r="603" spans="1:18" hidden="1" outlineLevel="1">
      <c r="E603" s="20"/>
      <c r="F603" s="21"/>
      <c r="G603" s="22"/>
      <c r="H603" s="30" t="s">
        <v>3035</v>
      </c>
      <c r="I603" s="22">
        <v>21.27</v>
      </c>
      <c r="J603" s="32"/>
      <c r="K603" s="10"/>
      <c r="L603" s="32"/>
      <c r="M603" s="10"/>
      <c r="N603" s="33">
        <f>I603</f>
        <v>21.27</v>
      </c>
      <c r="O603" s="58">
        <f>ROUND(PRODUCT(J603:N603),2)</f>
        <v>21.27</v>
      </c>
      <c r="P603" s="185"/>
      <c r="Q603" s="185"/>
    </row>
    <row r="604" spans="1:18" hidden="1" outlineLevel="1">
      <c r="E604" s="20"/>
      <c r="F604" s="21"/>
      <c r="G604" s="22"/>
      <c r="H604" s="30"/>
      <c r="I604" s="22"/>
      <c r="J604" s="32"/>
      <c r="K604" s="10"/>
      <c r="L604" s="32"/>
      <c r="M604" s="10"/>
      <c r="N604" s="33"/>
      <c r="O604" s="58"/>
      <c r="P604" s="185"/>
      <c r="Q604" s="185"/>
    </row>
    <row r="605" spans="1:18" ht="45" hidden="1" outlineLevel="1">
      <c r="A605" s="2">
        <v>5</v>
      </c>
      <c r="B605" s="2">
        <v>6</v>
      </c>
      <c r="C605" s="2">
        <f>1+C583</f>
        <v>6</v>
      </c>
      <c r="E605" s="20" t="str">
        <f>CONCATENATE(A605,".",B605,".",C605)</f>
        <v>5.6.6</v>
      </c>
      <c r="F605" s="21" t="s">
        <v>3036</v>
      </c>
      <c r="G605" s="22">
        <v>87255</v>
      </c>
      <c r="H605" s="23" t="s">
        <v>222</v>
      </c>
      <c r="I605" s="24" t="s">
        <v>45</v>
      </c>
      <c r="J605" s="32"/>
      <c r="K605" s="10"/>
      <c r="L605" s="32"/>
      <c r="M605" s="10"/>
      <c r="N605" s="33"/>
      <c r="O605" s="27">
        <f>SUM(O607:O616)</f>
        <v>30.28</v>
      </c>
      <c r="P605" s="86"/>
      <c r="Q605" s="87"/>
      <c r="R605" s="87"/>
    </row>
    <row r="606" spans="1:18" hidden="1" outlineLevel="1">
      <c r="E606" s="20"/>
      <c r="F606" s="21"/>
      <c r="G606" s="22"/>
      <c r="H606" s="24" t="s">
        <v>2873</v>
      </c>
      <c r="I606" s="22"/>
      <c r="J606" s="32"/>
      <c r="K606" s="10"/>
      <c r="L606" s="32"/>
      <c r="M606" s="10"/>
      <c r="N606" s="33"/>
      <c r="O606" s="27"/>
      <c r="P606" s="185"/>
      <c r="Q606" s="185"/>
    </row>
    <row r="607" spans="1:18" hidden="1" outlineLevel="1">
      <c r="E607" s="20"/>
      <c r="F607" s="21"/>
      <c r="G607" s="22"/>
      <c r="H607" s="30" t="s">
        <v>2973</v>
      </c>
      <c r="I607" s="22">
        <v>2.4</v>
      </c>
      <c r="J607" s="32"/>
      <c r="K607" s="10"/>
      <c r="L607" s="32"/>
      <c r="M607" s="10"/>
      <c r="N607" s="33">
        <v>2.4</v>
      </c>
      <c r="O607" s="58">
        <v>2.4</v>
      </c>
      <c r="P607" s="185"/>
      <c r="Q607" s="185"/>
    </row>
    <row r="608" spans="1:18" hidden="1" outlineLevel="1">
      <c r="E608" s="20"/>
      <c r="F608" s="21"/>
      <c r="G608" s="22"/>
      <c r="H608" s="30" t="s">
        <v>3015</v>
      </c>
      <c r="I608" s="22">
        <v>2.4</v>
      </c>
      <c r="J608" s="32"/>
      <c r="K608" s="10"/>
      <c r="L608" s="32"/>
      <c r="M608" s="10"/>
      <c r="N608" s="33">
        <v>2.4</v>
      </c>
      <c r="O608" s="58">
        <v>2.4</v>
      </c>
      <c r="P608" s="185"/>
      <c r="Q608" s="185"/>
    </row>
    <row r="609" spans="1:17" hidden="1" outlineLevel="1">
      <c r="E609" s="20"/>
      <c r="F609" s="21"/>
      <c r="G609" s="22"/>
      <c r="H609" s="30" t="s">
        <v>2994</v>
      </c>
      <c r="I609" s="22">
        <v>3.43</v>
      </c>
      <c r="J609" s="32"/>
      <c r="K609" s="10"/>
      <c r="L609" s="32"/>
      <c r="M609" s="10"/>
      <c r="N609" s="33">
        <v>3.43</v>
      </c>
      <c r="O609" s="58">
        <v>3.43</v>
      </c>
      <c r="P609" s="185"/>
      <c r="Q609" s="185"/>
    </row>
    <row r="610" spans="1:17" hidden="1" outlineLevel="1">
      <c r="E610" s="20"/>
      <c r="F610" s="21"/>
      <c r="G610" s="22"/>
      <c r="H610" s="30" t="s">
        <v>2995</v>
      </c>
      <c r="I610" s="22">
        <v>3.43</v>
      </c>
      <c r="J610" s="32"/>
      <c r="K610" s="10"/>
      <c r="L610" s="32"/>
      <c r="M610" s="10"/>
      <c r="N610" s="33">
        <v>3.43</v>
      </c>
      <c r="O610" s="58">
        <v>3.43</v>
      </c>
      <c r="P610" s="185"/>
      <c r="Q610" s="185"/>
    </row>
    <row r="611" spans="1:17" hidden="1" outlineLevel="1">
      <c r="E611" s="20"/>
      <c r="F611" s="21"/>
      <c r="G611" s="22"/>
      <c r="H611" s="30" t="s">
        <v>2878</v>
      </c>
      <c r="I611" s="22">
        <v>3.58</v>
      </c>
      <c r="J611" s="32"/>
      <c r="K611" s="10"/>
      <c r="L611" s="32"/>
      <c r="M611" s="10"/>
      <c r="N611" s="33">
        <v>3.58</v>
      </c>
      <c r="O611" s="58">
        <v>3.58</v>
      </c>
      <c r="P611" s="185"/>
      <c r="Q611" s="185"/>
    </row>
    <row r="612" spans="1:17" hidden="1" outlineLevel="1">
      <c r="E612" s="20"/>
      <c r="F612" s="21"/>
      <c r="G612" s="22"/>
      <c r="H612" s="30" t="s">
        <v>2879</v>
      </c>
      <c r="I612" s="22">
        <v>3.58</v>
      </c>
      <c r="J612" s="32"/>
      <c r="K612" s="10"/>
      <c r="L612" s="32"/>
      <c r="M612" s="10"/>
      <c r="N612" s="33">
        <v>3.58</v>
      </c>
      <c r="O612" s="58">
        <v>3.58</v>
      </c>
      <c r="P612" s="185"/>
      <c r="Q612" s="185"/>
    </row>
    <row r="613" spans="1:17" hidden="1" outlineLevel="1">
      <c r="E613" s="20"/>
      <c r="F613" s="21"/>
      <c r="G613" s="22"/>
      <c r="H613" s="30" t="s">
        <v>3032</v>
      </c>
      <c r="I613" s="22">
        <v>3.33</v>
      </c>
      <c r="J613" s="32"/>
      <c r="K613" s="10"/>
      <c r="L613" s="32"/>
      <c r="M613" s="10"/>
      <c r="N613" s="33">
        <v>3.33</v>
      </c>
      <c r="O613" s="58">
        <v>3.33</v>
      </c>
      <c r="P613" s="185"/>
      <c r="Q613" s="185"/>
    </row>
    <row r="614" spans="1:17" hidden="1" outlineLevel="1">
      <c r="E614" s="20"/>
      <c r="F614" s="21"/>
      <c r="G614" s="22"/>
      <c r="H614" s="24" t="s">
        <v>3037</v>
      </c>
      <c r="I614" s="22"/>
      <c r="J614" s="32"/>
      <c r="K614" s="10"/>
      <c r="L614" s="32"/>
      <c r="M614" s="10"/>
      <c r="N614" s="33"/>
      <c r="O614" s="58"/>
      <c r="P614" s="185"/>
      <c r="Q614" s="185"/>
    </row>
    <row r="615" spans="1:17" hidden="1" outlineLevel="1">
      <c r="E615" s="20"/>
      <c r="F615" s="21"/>
      <c r="G615" s="22"/>
      <c r="H615" s="30" t="s">
        <v>2878</v>
      </c>
      <c r="I615" s="22">
        <v>4.3499999999999996</v>
      </c>
      <c r="J615" s="32"/>
      <c r="K615" s="10"/>
      <c r="L615" s="32"/>
      <c r="M615" s="10"/>
      <c r="N615" s="33">
        <v>4.3499999999999996</v>
      </c>
      <c r="O615" s="58">
        <v>4.3499999999999996</v>
      </c>
      <c r="P615" s="185"/>
      <c r="Q615" s="185"/>
    </row>
    <row r="616" spans="1:17" hidden="1" outlineLevel="1">
      <c r="E616" s="20"/>
      <c r="F616" s="21"/>
      <c r="G616" s="22"/>
      <c r="H616" s="30" t="s">
        <v>2879</v>
      </c>
      <c r="I616" s="22">
        <v>3.78</v>
      </c>
      <c r="J616" s="32"/>
      <c r="K616" s="10"/>
      <c r="L616" s="32"/>
      <c r="M616" s="10"/>
      <c r="N616" s="33">
        <v>3.78</v>
      </c>
      <c r="O616" s="58">
        <v>3.78</v>
      </c>
      <c r="P616" s="185"/>
      <c r="Q616" s="185"/>
    </row>
    <row r="617" spans="1:17" ht="45" hidden="1" outlineLevel="1">
      <c r="E617" s="20"/>
      <c r="F617" s="21" t="s">
        <v>3038</v>
      </c>
      <c r="G617" s="22">
        <v>87256</v>
      </c>
      <c r="H617" s="23" t="s">
        <v>225</v>
      </c>
      <c r="I617" s="24" t="s">
        <v>45</v>
      </c>
      <c r="J617" s="32"/>
      <c r="K617" s="10"/>
      <c r="L617" s="32"/>
      <c r="M617" s="10"/>
      <c r="N617" s="33"/>
      <c r="O617" s="27">
        <f>SUM(O618:O619)</f>
        <v>12.14</v>
      </c>
      <c r="P617" s="185"/>
      <c r="Q617" s="185"/>
    </row>
    <row r="618" spans="1:17" hidden="1" outlineLevel="1">
      <c r="E618" s="20"/>
      <c r="F618" s="21"/>
      <c r="G618" s="22"/>
      <c r="H618" s="30" t="s">
        <v>3012</v>
      </c>
      <c r="I618" s="22">
        <v>6.07</v>
      </c>
      <c r="J618" s="32"/>
      <c r="K618" s="10"/>
      <c r="L618" s="32"/>
      <c r="M618" s="10"/>
      <c r="N618" s="33">
        <f>I618</f>
        <v>6.07</v>
      </c>
      <c r="O618" s="58">
        <f>ROUND(PRODUCT(J618:N618),2)</f>
        <v>6.07</v>
      </c>
      <c r="P618" s="185"/>
      <c r="Q618" s="185"/>
    </row>
    <row r="619" spans="1:17" hidden="1" outlineLevel="1">
      <c r="E619" s="20"/>
      <c r="F619" s="21"/>
      <c r="G619" s="22"/>
      <c r="H619" s="30" t="s">
        <v>3033</v>
      </c>
      <c r="I619" s="22">
        <v>6.07</v>
      </c>
      <c r="J619" s="32"/>
      <c r="K619" s="10"/>
      <c r="L619" s="32"/>
      <c r="M619" s="10"/>
      <c r="N619" s="33">
        <f>I619</f>
        <v>6.07</v>
      </c>
      <c r="O619" s="58">
        <f>ROUND(PRODUCT(J619:N619),2)</f>
        <v>6.07</v>
      </c>
      <c r="P619" s="185"/>
      <c r="Q619" s="185"/>
    </row>
    <row r="620" spans="1:17" ht="37.9" hidden="1" customHeight="1" outlineLevel="1">
      <c r="A620" s="2">
        <v>5</v>
      </c>
      <c r="B620" s="2">
        <v>6</v>
      </c>
      <c r="C620" s="2">
        <f>1+C605</f>
        <v>7</v>
      </c>
      <c r="E620" s="20" t="str">
        <f>CONCATENATE(A620,".",B620,".",C620)</f>
        <v>5.6.7</v>
      </c>
      <c r="F620" s="21" t="s">
        <v>3039</v>
      </c>
      <c r="G620" s="22" t="s">
        <v>227</v>
      </c>
      <c r="H620" s="23" t="s">
        <v>3040</v>
      </c>
      <c r="I620" s="24" t="s">
        <v>45</v>
      </c>
      <c r="J620" s="32"/>
      <c r="K620" s="10"/>
      <c r="L620" s="32"/>
      <c r="M620" s="10"/>
      <c r="N620" s="33"/>
      <c r="O620" s="27">
        <f>SUM(O621:O632)</f>
        <v>122.07999999999998</v>
      </c>
      <c r="P620" s="185"/>
      <c r="Q620" s="185"/>
    </row>
    <row r="621" spans="1:17" hidden="1" outlineLevel="1">
      <c r="E621" s="20"/>
      <c r="F621" s="21"/>
      <c r="G621" s="22"/>
      <c r="H621" s="24" t="s">
        <v>2873</v>
      </c>
      <c r="I621" s="22"/>
      <c r="J621" s="32"/>
      <c r="K621" s="10"/>
      <c r="L621" s="32"/>
      <c r="M621" s="10"/>
      <c r="N621" s="33"/>
      <c r="O621" s="27"/>
      <c r="P621" s="185"/>
      <c r="Q621" s="185"/>
    </row>
    <row r="622" spans="1:17" hidden="1" outlineLevel="1">
      <c r="E622" s="20"/>
      <c r="F622" s="21"/>
      <c r="G622" s="22"/>
      <c r="H622" s="30" t="s">
        <v>2880</v>
      </c>
      <c r="I622" s="22">
        <v>10.42</v>
      </c>
      <c r="J622" s="32"/>
      <c r="K622" s="10"/>
      <c r="L622" s="32"/>
      <c r="M622" s="10"/>
      <c r="N622" s="33">
        <f t="shared" ref="N622:N628" si="32">I622</f>
        <v>10.42</v>
      </c>
      <c r="O622" s="58">
        <f t="shared" ref="O622:O628" si="33">N622</f>
        <v>10.42</v>
      </c>
      <c r="P622" s="185"/>
      <c r="Q622" s="185"/>
    </row>
    <row r="623" spans="1:17" hidden="1" outlineLevel="1">
      <c r="E623" s="20"/>
      <c r="F623" s="21"/>
      <c r="G623" s="22"/>
      <c r="H623" s="30" t="s">
        <v>3012</v>
      </c>
      <c r="I623" s="22">
        <v>15.04</v>
      </c>
      <c r="J623" s="32"/>
      <c r="K623" s="10"/>
      <c r="L623" s="32"/>
      <c r="M623" s="10"/>
      <c r="N623" s="33">
        <f t="shared" si="32"/>
        <v>15.04</v>
      </c>
      <c r="O623" s="58">
        <f t="shared" si="33"/>
        <v>15.04</v>
      </c>
      <c r="P623" s="185"/>
      <c r="Q623" s="185"/>
    </row>
    <row r="624" spans="1:17" hidden="1" outlineLevel="1">
      <c r="E624" s="20"/>
      <c r="F624" s="21"/>
      <c r="G624" s="22"/>
      <c r="H624" s="30" t="s">
        <v>3041</v>
      </c>
      <c r="I624" s="22">
        <v>15.04</v>
      </c>
      <c r="J624" s="32"/>
      <c r="K624" s="10"/>
      <c r="L624" s="32"/>
      <c r="M624" s="10"/>
      <c r="N624" s="33">
        <f t="shared" si="32"/>
        <v>15.04</v>
      </c>
      <c r="O624" s="58">
        <f t="shared" si="33"/>
        <v>15.04</v>
      </c>
      <c r="P624" s="185"/>
      <c r="Q624" s="185"/>
    </row>
    <row r="625" spans="1:17" hidden="1" outlineLevel="1">
      <c r="E625" s="20"/>
      <c r="F625" s="21"/>
      <c r="G625" s="22"/>
      <c r="H625" s="30" t="s">
        <v>3042</v>
      </c>
      <c r="I625" s="22">
        <v>8.36</v>
      </c>
      <c r="J625" s="32"/>
      <c r="K625" s="10"/>
      <c r="L625" s="32"/>
      <c r="M625" s="10"/>
      <c r="N625" s="33">
        <f t="shared" si="32"/>
        <v>8.36</v>
      </c>
      <c r="O625" s="58">
        <f t="shared" si="33"/>
        <v>8.36</v>
      </c>
      <c r="P625" s="185"/>
      <c r="Q625" s="185"/>
    </row>
    <row r="626" spans="1:17" hidden="1" outlineLevel="1">
      <c r="E626" s="20"/>
      <c r="F626" s="21"/>
      <c r="G626" s="22"/>
      <c r="H626" s="30" t="s">
        <v>3030</v>
      </c>
      <c r="I626" s="22">
        <v>7.44</v>
      </c>
      <c r="J626" s="32"/>
      <c r="K626" s="10"/>
      <c r="L626" s="32"/>
      <c r="M626" s="10"/>
      <c r="N626" s="33">
        <f t="shared" si="32"/>
        <v>7.44</v>
      </c>
      <c r="O626" s="58">
        <f t="shared" si="33"/>
        <v>7.44</v>
      </c>
      <c r="P626" s="185"/>
      <c r="Q626" s="185"/>
    </row>
    <row r="627" spans="1:17" hidden="1" outlineLevel="1">
      <c r="E627" s="20"/>
      <c r="F627" s="21"/>
      <c r="G627" s="22"/>
      <c r="H627" s="30" t="s">
        <v>3043</v>
      </c>
      <c r="I627" s="22">
        <v>8.36</v>
      </c>
      <c r="J627" s="32"/>
      <c r="K627" s="10"/>
      <c r="L627" s="32"/>
      <c r="M627" s="10"/>
      <c r="N627" s="33">
        <f t="shared" si="32"/>
        <v>8.36</v>
      </c>
      <c r="O627" s="58">
        <f t="shared" si="33"/>
        <v>8.36</v>
      </c>
      <c r="P627" s="185"/>
      <c r="Q627" s="185"/>
    </row>
    <row r="628" spans="1:17" hidden="1" outlineLevel="1">
      <c r="E628" s="20"/>
      <c r="F628" s="21"/>
      <c r="G628" s="22"/>
      <c r="H628" s="30" t="s">
        <v>2893</v>
      </c>
      <c r="I628" s="22">
        <v>7.44</v>
      </c>
      <c r="J628" s="32"/>
      <c r="K628" s="10"/>
      <c r="L628" s="32"/>
      <c r="M628" s="10"/>
      <c r="N628" s="33">
        <f t="shared" si="32"/>
        <v>7.44</v>
      </c>
      <c r="O628" s="58">
        <f t="shared" si="33"/>
        <v>7.44</v>
      </c>
      <c r="P628" s="185"/>
      <c r="Q628" s="185"/>
    </row>
    <row r="629" spans="1:17" hidden="1" outlineLevel="1">
      <c r="E629" s="20"/>
      <c r="F629" s="21"/>
      <c r="G629" s="22"/>
      <c r="H629" s="24" t="s">
        <v>2910</v>
      </c>
      <c r="I629" s="22"/>
      <c r="J629" s="32"/>
      <c r="K629" s="10"/>
      <c r="L629" s="32"/>
      <c r="M629" s="10"/>
      <c r="N629" s="33"/>
      <c r="O629" s="58"/>
      <c r="P629" s="185"/>
      <c r="Q629" s="185"/>
    </row>
    <row r="630" spans="1:17" hidden="1" outlineLevel="1">
      <c r="E630" s="20"/>
      <c r="F630" s="21"/>
      <c r="G630" s="22"/>
      <c r="H630" s="30" t="s">
        <v>3012</v>
      </c>
      <c r="I630" s="22">
        <v>21.27</v>
      </c>
      <c r="J630" s="32"/>
      <c r="K630" s="10"/>
      <c r="L630" s="32"/>
      <c r="M630" s="10"/>
      <c r="N630" s="33">
        <f>I630</f>
        <v>21.27</v>
      </c>
      <c r="O630" s="58">
        <f>N630</f>
        <v>21.27</v>
      </c>
      <c r="P630" s="185"/>
      <c r="Q630" s="185"/>
    </row>
    <row r="631" spans="1:17" hidden="1" outlineLevel="1">
      <c r="E631" s="20"/>
      <c r="F631" s="21"/>
      <c r="G631" s="22"/>
      <c r="H631" s="30" t="s">
        <v>3041</v>
      </c>
      <c r="I631" s="22">
        <v>21.27</v>
      </c>
      <c r="J631" s="32"/>
      <c r="K631" s="10"/>
      <c r="L631" s="32"/>
      <c r="M631" s="10"/>
      <c r="N631" s="33">
        <f>I631</f>
        <v>21.27</v>
      </c>
      <c r="O631" s="58">
        <f>N631</f>
        <v>21.27</v>
      </c>
      <c r="P631" s="185"/>
      <c r="Q631" s="185"/>
    </row>
    <row r="632" spans="1:17" hidden="1" outlineLevel="1">
      <c r="E632" s="20"/>
      <c r="F632" s="21"/>
      <c r="G632" s="22"/>
      <c r="H632" s="30" t="s">
        <v>3030</v>
      </c>
      <c r="I632" s="22">
        <v>7.44</v>
      </c>
      <c r="J632" s="32"/>
      <c r="K632" s="10"/>
      <c r="L632" s="32"/>
      <c r="M632" s="10"/>
      <c r="N632" s="33">
        <f>I632</f>
        <v>7.44</v>
      </c>
      <c r="O632" s="58">
        <f>N632</f>
        <v>7.44</v>
      </c>
      <c r="P632" s="185"/>
      <c r="Q632" s="185"/>
    </row>
    <row r="633" spans="1:17" ht="48" hidden="1" customHeight="1" outlineLevel="1">
      <c r="A633" s="2">
        <v>5</v>
      </c>
      <c r="B633" s="2">
        <v>6</v>
      </c>
      <c r="C633" s="2">
        <f>1+C620</f>
        <v>8</v>
      </c>
      <c r="E633" s="20" t="str">
        <f>CONCATENATE(A633,".",B633,".",C633)</f>
        <v>5.6.8</v>
      </c>
      <c r="F633" s="21" t="s">
        <v>3044</v>
      </c>
      <c r="G633" s="22" t="s">
        <v>230</v>
      </c>
      <c r="H633" s="23" t="s">
        <v>231</v>
      </c>
      <c r="I633" s="24" t="s">
        <v>45</v>
      </c>
      <c r="J633" s="32"/>
      <c r="K633" s="10"/>
      <c r="L633" s="32"/>
      <c r="M633" s="10"/>
      <c r="N633" s="33"/>
      <c r="O633" s="27">
        <f>SUM(O635:O671)</f>
        <v>2025.3200000000008</v>
      </c>
      <c r="P633" s="185"/>
      <c r="Q633" s="185"/>
    </row>
    <row r="634" spans="1:17" hidden="1" outlineLevel="1">
      <c r="E634" s="20"/>
      <c r="F634" s="21"/>
      <c r="G634" s="22"/>
      <c r="H634" s="24" t="s">
        <v>2873</v>
      </c>
      <c r="I634" s="22"/>
      <c r="J634" s="32"/>
      <c r="K634" s="10"/>
      <c r="L634" s="32"/>
      <c r="M634" s="10"/>
      <c r="N634" s="33"/>
      <c r="O634" s="27"/>
      <c r="P634" s="185"/>
      <c r="Q634" s="185"/>
    </row>
    <row r="635" spans="1:17" hidden="1" outlineLevel="1">
      <c r="E635" s="20"/>
      <c r="F635" s="21"/>
      <c r="G635" s="22"/>
      <c r="H635" s="30" t="s">
        <v>2874</v>
      </c>
      <c r="I635" s="22">
        <v>47.95</v>
      </c>
      <c r="J635" s="32"/>
      <c r="K635" s="10"/>
      <c r="L635" s="32"/>
      <c r="M635" s="10"/>
      <c r="N635" s="33">
        <v>47.95</v>
      </c>
      <c r="O635" s="58">
        <v>47.95</v>
      </c>
      <c r="P635" s="185"/>
      <c r="Q635" s="185"/>
    </row>
    <row r="636" spans="1:17" hidden="1" outlineLevel="1">
      <c r="E636" s="20"/>
      <c r="F636" s="21"/>
      <c r="G636" s="22"/>
      <c r="H636" s="30" t="s">
        <v>2990</v>
      </c>
      <c r="I636" s="22">
        <v>5.15</v>
      </c>
      <c r="J636" s="32"/>
      <c r="K636" s="10"/>
      <c r="L636" s="32"/>
      <c r="M636" s="10"/>
      <c r="N636" s="33">
        <v>5.15</v>
      </c>
      <c r="O636" s="58">
        <v>5.15</v>
      </c>
      <c r="P636" s="185"/>
      <c r="Q636" s="185"/>
    </row>
    <row r="637" spans="1:17" hidden="1" outlineLevel="1">
      <c r="E637" s="20"/>
      <c r="F637" s="21"/>
      <c r="G637" s="22"/>
      <c r="H637" s="30" t="s">
        <v>2991</v>
      </c>
      <c r="I637" s="22">
        <v>8.39</v>
      </c>
      <c r="J637" s="32"/>
      <c r="K637" s="10"/>
      <c r="L637" s="32"/>
      <c r="M637" s="10"/>
      <c r="N637" s="33">
        <v>8.39</v>
      </c>
      <c r="O637" s="58">
        <v>8.39</v>
      </c>
      <c r="P637" s="185"/>
      <c r="Q637" s="185"/>
    </row>
    <row r="638" spans="1:17" hidden="1" outlineLevel="1">
      <c r="E638" s="20"/>
      <c r="F638" s="21"/>
      <c r="G638" s="22"/>
      <c r="H638" s="30" t="s">
        <v>2875</v>
      </c>
      <c r="I638" s="22">
        <v>13.57</v>
      </c>
      <c r="J638" s="32"/>
      <c r="K638" s="10"/>
      <c r="L638" s="32"/>
      <c r="M638" s="10"/>
      <c r="N638" s="33">
        <v>13.57</v>
      </c>
      <c r="O638" s="58">
        <v>13.57</v>
      </c>
      <c r="P638" s="185"/>
      <c r="Q638" s="185"/>
    </row>
    <row r="639" spans="1:17" hidden="1" outlineLevel="1">
      <c r="E639" s="20"/>
      <c r="F639" s="21"/>
      <c r="G639" s="22"/>
      <c r="H639" s="30" t="s">
        <v>2876</v>
      </c>
      <c r="I639" s="22">
        <v>13.57</v>
      </c>
      <c r="J639" s="32"/>
      <c r="K639" s="10"/>
      <c r="L639" s="32"/>
      <c r="M639" s="10"/>
      <c r="N639" s="33">
        <v>13.57</v>
      </c>
      <c r="O639" s="58">
        <v>13.57</v>
      </c>
      <c r="P639" s="185"/>
      <c r="Q639" s="185"/>
    </row>
    <row r="640" spans="1:17" hidden="1" outlineLevel="1">
      <c r="E640" s="20"/>
      <c r="F640" s="21"/>
      <c r="G640" s="22"/>
      <c r="H640" s="30" t="s">
        <v>2992</v>
      </c>
      <c r="I640" s="22">
        <v>5.44</v>
      </c>
      <c r="J640" s="32"/>
      <c r="K640" s="10"/>
      <c r="L640" s="32"/>
      <c r="M640" s="10"/>
      <c r="N640" s="33">
        <v>15.01</v>
      </c>
      <c r="O640" s="58">
        <v>15.01</v>
      </c>
      <c r="P640" s="185"/>
      <c r="Q640" s="185"/>
    </row>
    <row r="641" spans="5:17" hidden="1" outlineLevel="1">
      <c r="E641" s="20"/>
      <c r="F641" s="21"/>
      <c r="G641" s="22"/>
      <c r="H641" s="30" t="s">
        <v>2882</v>
      </c>
      <c r="I641" s="22">
        <v>18.07</v>
      </c>
      <c r="J641" s="32"/>
      <c r="K641" s="10"/>
      <c r="L641" s="32"/>
      <c r="M641" s="10"/>
      <c r="N641" s="33">
        <v>19.89</v>
      </c>
      <c r="O641" s="58">
        <v>19.89</v>
      </c>
      <c r="P641" s="185"/>
      <c r="Q641" s="185"/>
    </row>
    <row r="642" spans="5:17" hidden="1" outlineLevel="1">
      <c r="E642" s="20"/>
      <c r="F642" s="21"/>
      <c r="G642" s="22"/>
      <c r="H642" s="30" t="s">
        <v>2996</v>
      </c>
      <c r="I642" s="22">
        <v>14.66</v>
      </c>
      <c r="J642" s="32"/>
      <c r="K642" s="10"/>
      <c r="L642" s="32"/>
      <c r="M642" s="10"/>
      <c r="N642" s="33">
        <v>7.75</v>
      </c>
      <c r="O642" s="58">
        <v>7.75</v>
      </c>
      <c r="P642" s="185"/>
      <c r="Q642" s="185"/>
    </row>
    <row r="643" spans="5:17" hidden="1" outlineLevel="1">
      <c r="E643" s="20"/>
      <c r="F643" s="21"/>
      <c r="G643" s="22"/>
      <c r="H643" s="30" t="s">
        <v>2883</v>
      </c>
      <c r="I643" s="22">
        <v>35.51</v>
      </c>
      <c r="J643" s="32"/>
      <c r="K643" s="10"/>
      <c r="L643" s="32"/>
      <c r="M643" s="10"/>
      <c r="N643" s="33">
        <v>35.51</v>
      </c>
      <c r="O643" s="58">
        <v>35.51</v>
      </c>
      <c r="P643" s="185"/>
      <c r="Q643" s="185"/>
    </row>
    <row r="644" spans="5:17" hidden="1" outlineLevel="1">
      <c r="E644" s="20"/>
      <c r="F644" s="21"/>
      <c r="G644" s="22"/>
      <c r="H644" s="30" t="s">
        <v>2997</v>
      </c>
      <c r="I644" s="22">
        <v>17.36</v>
      </c>
      <c r="J644" s="32"/>
      <c r="K644" s="10"/>
      <c r="L644" s="32"/>
      <c r="M644" s="10"/>
      <c r="N644" s="33">
        <v>17.36</v>
      </c>
      <c r="O644" s="58">
        <v>17.36</v>
      </c>
      <c r="P644" s="185"/>
      <c r="Q644" s="185"/>
    </row>
    <row r="645" spans="5:17" hidden="1" outlineLevel="1">
      <c r="E645" s="20"/>
      <c r="F645" s="21"/>
      <c r="G645" s="22"/>
      <c r="H645" s="30" t="s">
        <v>2998</v>
      </c>
      <c r="I645" s="22">
        <v>60.62</v>
      </c>
      <c r="J645" s="32"/>
      <c r="K645" s="10"/>
      <c r="L645" s="32"/>
      <c r="M645" s="10"/>
      <c r="N645" s="33">
        <v>60.62</v>
      </c>
      <c r="O645" s="58">
        <v>60.62</v>
      </c>
      <c r="P645" s="185"/>
      <c r="Q645" s="185"/>
    </row>
    <row r="646" spans="5:17" hidden="1" outlineLevel="1">
      <c r="E646" s="20"/>
      <c r="F646" s="21"/>
      <c r="G646" s="22"/>
      <c r="H646" s="30" t="s">
        <v>2886</v>
      </c>
      <c r="I646" s="22">
        <v>60.62</v>
      </c>
      <c r="J646" s="32"/>
      <c r="K646" s="10"/>
      <c r="L646" s="32"/>
      <c r="M646" s="10"/>
      <c r="N646" s="33">
        <v>60.62</v>
      </c>
      <c r="O646" s="58">
        <v>60.62</v>
      </c>
      <c r="P646" s="185"/>
      <c r="Q646" s="185"/>
    </row>
    <row r="647" spans="5:17" hidden="1" outlineLevel="1">
      <c r="E647" s="20"/>
      <c r="F647" s="21"/>
      <c r="G647" s="22"/>
      <c r="H647" s="30" t="s">
        <v>2887</v>
      </c>
      <c r="I647" s="22">
        <v>16.100000000000001</v>
      </c>
      <c r="J647" s="32"/>
      <c r="K647" s="10"/>
      <c r="L647" s="32"/>
      <c r="M647" s="10"/>
      <c r="N647" s="33">
        <v>16.100000000000001</v>
      </c>
      <c r="O647" s="58">
        <v>16.100000000000001</v>
      </c>
      <c r="P647" s="185"/>
      <c r="Q647" s="185"/>
    </row>
    <row r="648" spans="5:17" hidden="1" outlineLevel="1">
      <c r="E648" s="20"/>
      <c r="F648" s="21"/>
      <c r="G648" s="22"/>
      <c r="H648" s="30" t="s">
        <v>3001</v>
      </c>
      <c r="I648" s="22">
        <v>11.6</v>
      </c>
      <c r="J648" s="32"/>
      <c r="K648" s="10"/>
      <c r="L648" s="32"/>
      <c r="M648" s="10"/>
      <c r="N648" s="33">
        <v>11.6</v>
      </c>
      <c r="O648" s="58">
        <v>11.6</v>
      </c>
      <c r="P648" s="185"/>
      <c r="Q648" s="185"/>
    </row>
    <row r="649" spans="5:17" hidden="1" outlineLevel="1">
      <c r="E649" s="20"/>
      <c r="F649" s="21"/>
      <c r="G649" s="22"/>
      <c r="H649" s="30" t="s">
        <v>3002</v>
      </c>
      <c r="I649" s="22">
        <v>17.5</v>
      </c>
      <c r="J649" s="32"/>
      <c r="K649" s="10"/>
      <c r="L649" s="32"/>
      <c r="M649" s="10"/>
      <c r="N649" s="33">
        <v>17.5</v>
      </c>
      <c r="O649" s="58">
        <v>17.5</v>
      </c>
      <c r="P649" s="185"/>
      <c r="Q649" s="185"/>
    </row>
    <row r="650" spans="5:17" hidden="1" outlineLevel="1">
      <c r="E650" s="20"/>
      <c r="F650" s="21"/>
      <c r="G650" s="22"/>
      <c r="H650" s="30" t="s">
        <v>3003</v>
      </c>
      <c r="I650" s="22">
        <v>11.6</v>
      </c>
      <c r="J650" s="32"/>
      <c r="K650" s="10"/>
      <c r="L650" s="32"/>
      <c r="M650" s="10"/>
      <c r="N650" s="33">
        <v>11.6</v>
      </c>
      <c r="O650" s="58">
        <v>11.6</v>
      </c>
      <c r="P650" s="185"/>
      <c r="Q650" s="185"/>
    </row>
    <row r="651" spans="5:17" hidden="1" outlineLevel="1">
      <c r="E651" s="20"/>
      <c r="F651" s="21"/>
      <c r="G651" s="22"/>
      <c r="H651" s="30" t="s">
        <v>3004</v>
      </c>
      <c r="I651" s="22">
        <v>17.5</v>
      </c>
      <c r="J651" s="32"/>
      <c r="K651" s="10"/>
      <c r="L651" s="32"/>
      <c r="M651" s="10"/>
      <c r="N651" s="33">
        <v>17.5</v>
      </c>
      <c r="O651" s="58">
        <v>17.5</v>
      </c>
      <c r="P651" s="185"/>
      <c r="Q651" s="185"/>
    </row>
    <row r="652" spans="5:17" hidden="1" outlineLevel="1">
      <c r="E652" s="20"/>
      <c r="F652" s="21"/>
      <c r="G652" s="22"/>
      <c r="H652" s="30" t="s">
        <v>2901</v>
      </c>
      <c r="I652" s="22">
        <v>60.62</v>
      </c>
      <c r="J652" s="32"/>
      <c r="K652" s="10"/>
      <c r="L652" s="32"/>
      <c r="M652" s="10"/>
      <c r="N652" s="33">
        <v>60.62</v>
      </c>
      <c r="O652" s="58">
        <v>60.62</v>
      </c>
      <c r="P652" s="185"/>
      <c r="Q652" s="185"/>
    </row>
    <row r="653" spans="5:17" hidden="1" outlineLevel="1">
      <c r="E653" s="20"/>
      <c r="F653" s="21"/>
      <c r="G653" s="22"/>
      <c r="H653" s="30" t="s">
        <v>3008</v>
      </c>
      <c r="I653" s="22">
        <v>7.2</v>
      </c>
      <c r="J653" s="32"/>
      <c r="K653" s="10"/>
      <c r="L653" s="32"/>
      <c r="M653" s="10"/>
      <c r="N653" s="33">
        <v>7.2</v>
      </c>
      <c r="O653" s="58">
        <v>7.2</v>
      </c>
      <c r="P653" s="185"/>
      <c r="Q653" s="185"/>
    </row>
    <row r="654" spans="5:17" hidden="1" outlineLevel="1">
      <c r="E654" s="20"/>
      <c r="F654" s="21"/>
      <c r="G654" s="22"/>
      <c r="H654" s="30" t="s">
        <v>3000</v>
      </c>
      <c r="I654" s="22">
        <v>60.62</v>
      </c>
      <c r="J654" s="32"/>
      <c r="K654" s="10"/>
      <c r="L654" s="32"/>
      <c r="M654" s="10"/>
      <c r="N654" s="33">
        <v>60.62</v>
      </c>
      <c r="O654" s="58">
        <v>60.62</v>
      </c>
      <c r="P654" s="185"/>
      <c r="Q654" s="185"/>
    </row>
    <row r="655" spans="5:17" hidden="1" outlineLevel="1">
      <c r="E655" s="20"/>
      <c r="F655" s="21"/>
      <c r="G655" s="22"/>
      <c r="H655" s="30" t="s">
        <v>2897</v>
      </c>
      <c r="I655" s="22">
        <v>60.62</v>
      </c>
      <c r="J655" s="32"/>
      <c r="K655" s="10"/>
      <c r="L655" s="32"/>
      <c r="M655" s="10"/>
      <c r="N655" s="33">
        <v>60.62</v>
      </c>
      <c r="O655" s="58">
        <v>60.62</v>
      </c>
      <c r="P655" s="185"/>
      <c r="Q655" s="185"/>
    </row>
    <row r="656" spans="5:17" hidden="1" outlineLevel="1">
      <c r="E656" s="20"/>
      <c r="F656" s="21"/>
      <c r="G656" s="22"/>
      <c r="H656" s="30" t="s">
        <v>2898</v>
      </c>
      <c r="I656" s="22">
        <v>60.62</v>
      </c>
      <c r="J656" s="32"/>
      <c r="K656" s="10"/>
      <c r="L656" s="32"/>
      <c r="M656" s="10"/>
      <c r="N656" s="33">
        <v>60.62</v>
      </c>
      <c r="O656" s="58">
        <v>60.62</v>
      </c>
      <c r="P656" s="185"/>
      <c r="Q656" s="185"/>
    </row>
    <row r="657" spans="5:17" hidden="1" outlineLevel="1">
      <c r="E657" s="20"/>
      <c r="F657" s="21"/>
      <c r="G657" s="22"/>
      <c r="H657" s="30" t="s">
        <v>2999</v>
      </c>
      <c r="I657" s="22">
        <v>413.1</v>
      </c>
      <c r="J657" s="32"/>
      <c r="K657" s="10"/>
      <c r="L657" s="32"/>
      <c r="M657" s="10"/>
      <c r="N657" s="33">
        <f>I657</f>
        <v>413.1</v>
      </c>
      <c r="O657" s="104">
        <f>ROUND(PRODUCT(J657:N657),2)</f>
        <v>413.1</v>
      </c>
      <c r="P657" s="185"/>
      <c r="Q657" s="185"/>
    </row>
    <row r="658" spans="5:17" hidden="1" outlineLevel="1">
      <c r="E658" s="20"/>
      <c r="F658" s="21"/>
      <c r="G658" s="22"/>
      <c r="H658" s="24" t="s">
        <v>3037</v>
      </c>
      <c r="I658" s="62"/>
      <c r="J658" s="37"/>
      <c r="K658" s="37"/>
      <c r="L658" s="37"/>
      <c r="M658" s="38"/>
      <c r="N658" s="38"/>
      <c r="O658" s="104">
        <f>ROUND(PRODUCT(J658:N658),2)</f>
        <v>0</v>
      </c>
      <c r="P658" s="185"/>
      <c r="Q658" s="185"/>
    </row>
    <row r="659" spans="5:17" hidden="1" outlineLevel="1">
      <c r="E659" s="20"/>
      <c r="F659" s="21"/>
      <c r="G659" s="22"/>
      <c r="H659" s="30" t="s">
        <v>3018</v>
      </c>
      <c r="I659" s="22">
        <v>60.63</v>
      </c>
      <c r="J659" s="32"/>
      <c r="K659" s="10"/>
      <c r="L659" s="32"/>
      <c r="M659" s="10"/>
      <c r="N659" s="33">
        <v>60.63</v>
      </c>
      <c r="O659" s="104">
        <v>60.63</v>
      </c>
      <c r="P659" s="185"/>
      <c r="Q659" s="185"/>
    </row>
    <row r="660" spans="5:17" hidden="1" outlineLevel="1">
      <c r="E660" s="20"/>
      <c r="F660" s="21"/>
      <c r="G660" s="22"/>
      <c r="H660" s="30" t="s">
        <v>3019</v>
      </c>
      <c r="I660" s="22">
        <v>60.63</v>
      </c>
      <c r="J660" s="32"/>
      <c r="K660" s="10"/>
      <c r="L660" s="32"/>
      <c r="M660" s="10"/>
      <c r="N660" s="33">
        <v>60.63</v>
      </c>
      <c r="O660" s="104">
        <v>60.63</v>
      </c>
      <c r="P660" s="185"/>
      <c r="Q660" s="185"/>
    </row>
    <row r="661" spans="5:17" hidden="1" outlineLevel="1">
      <c r="E661" s="20"/>
      <c r="F661" s="21"/>
      <c r="G661" s="22"/>
      <c r="H661" s="30" t="s">
        <v>3020</v>
      </c>
      <c r="I661" s="22">
        <v>60.63</v>
      </c>
      <c r="J661" s="32"/>
      <c r="K661" s="10"/>
      <c r="L661" s="32"/>
      <c r="M661" s="10"/>
      <c r="N661" s="33">
        <v>60.63</v>
      </c>
      <c r="O661" s="104">
        <v>60.63</v>
      </c>
      <c r="P661" s="185"/>
      <c r="Q661" s="185"/>
    </row>
    <row r="662" spans="5:17" hidden="1" outlineLevel="1">
      <c r="E662" s="20"/>
      <c r="F662" s="21"/>
      <c r="G662" s="22"/>
      <c r="H662" s="30" t="s">
        <v>3021</v>
      </c>
      <c r="I662" s="22">
        <v>60.63</v>
      </c>
      <c r="J662" s="32"/>
      <c r="K662" s="10"/>
      <c r="L662" s="32"/>
      <c r="M662" s="10"/>
      <c r="N662" s="33">
        <v>60.63</v>
      </c>
      <c r="O662" s="104">
        <v>60.63</v>
      </c>
      <c r="P662" s="185"/>
      <c r="Q662" s="185"/>
    </row>
    <row r="663" spans="5:17" hidden="1" outlineLevel="1">
      <c r="E663" s="20"/>
      <c r="F663" s="21"/>
      <c r="G663" s="22"/>
      <c r="H663" s="30" t="s">
        <v>3022</v>
      </c>
      <c r="I663" s="22">
        <v>60.63</v>
      </c>
      <c r="J663" s="32"/>
      <c r="K663" s="10"/>
      <c r="L663" s="32"/>
      <c r="M663" s="10"/>
      <c r="N663" s="33">
        <v>60.63</v>
      </c>
      <c r="O663" s="104">
        <v>60.63</v>
      </c>
      <c r="P663" s="185"/>
      <c r="Q663" s="185"/>
    </row>
    <row r="664" spans="5:17" hidden="1" outlineLevel="1">
      <c r="E664" s="20"/>
      <c r="F664" s="21"/>
      <c r="G664" s="22"/>
      <c r="H664" s="30" t="s">
        <v>3023</v>
      </c>
      <c r="I664" s="22">
        <v>60.62</v>
      </c>
      <c r="J664" s="32"/>
      <c r="K664" s="10"/>
      <c r="L664" s="32"/>
      <c r="M664" s="10"/>
      <c r="N664" s="33">
        <v>60.62</v>
      </c>
      <c r="O664" s="104">
        <v>60.62</v>
      </c>
      <c r="P664" s="185"/>
      <c r="Q664" s="185"/>
    </row>
    <row r="665" spans="5:17" hidden="1" outlineLevel="1">
      <c r="E665" s="20"/>
      <c r="F665" s="21"/>
      <c r="G665" s="22"/>
      <c r="H665" s="30" t="s">
        <v>3024</v>
      </c>
      <c r="I665" s="22">
        <v>60.62</v>
      </c>
      <c r="J665" s="32"/>
      <c r="K665" s="10"/>
      <c r="L665" s="32"/>
      <c r="M665" s="10"/>
      <c r="N665" s="33">
        <v>60.62</v>
      </c>
      <c r="O665" s="104">
        <v>60.62</v>
      </c>
      <c r="P665" s="185"/>
      <c r="Q665" s="185"/>
    </row>
    <row r="666" spans="5:17" hidden="1" outlineLevel="1">
      <c r="E666" s="20"/>
      <c r="F666" s="21"/>
      <c r="G666" s="22"/>
      <c r="H666" s="30" t="s">
        <v>3025</v>
      </c>
      <c r="I666" s="22">
        <v>60.63</v>
      </c>
      <c r="J666" s="32"/>
      <c r="K666" s="100"/>
      <c r="L666" s="32"/>
      <c r="M666" s="10"/>
      <c r="N666" s="33">
        <v>60.63</v>
      </c>
      <c r="O666" s="104">
        <v>60.63</v>
      </c>
      <c r="P666" s="185"/>
      <c r="Q666" s="185"/>
    </row>
    <row r="667" spans="5:17" hidden="1" outlineLevel="1">
      <c r="E667" s="20"/>
      <c r="F667" s="21"/>
      <c r="G667" s="22"/>
      <c r="H667" s="30" t="s">
        <v>3026</v>
      </c>
      <c r="I667" s="22">
        <v>60.63</v>
      </c>
      <c r="J667" s="32"/>
      <c r="K667" s="10"/>
      <c r="L667" s="32"/>
      <c r="M667" s="10"/>
      <c r="N667" s="33">
        <v>60.63</v>
      </c>
      <c r="O667" s="104">
        <v>60.63</v>
      </c>
      <c r="P667" s="185"/>
      <c r="Q667" s="185"/>
    </row>
    <row r="668" spans="5:17" hidden="1" outlineLevel="1">
      <c r="E668" s="20"/>
      <c r="F668" s="21"/>
      <c r="G668" s="22"/>
      <c r="H668" s="30" t="s">
        <v>3027</v>
      </c>
      <c r="I668" s="22">
        <v>60.63</v>
      </c>
      <c r="J668" s="32"/>
      <c r="K668" s="10"/>
      <c r="L668" s="32"/>
      <c r="M668" s="10"/>
      <c r="N668" s="33">
        <v>60.63</v>
      </c>
      <c r="O668" s="104">
        <v>60.63</v>
      </c>
      <c r="P668" s="185"/>
      <c r="Q668" s="185"/>
    </row>
    <row r="669" spans="5:17" hidden="1" outlineLevel="1">
      <c r="E669" s="20"/>
      <c r="F669" s="21"/>
      <c r="G669" s="22"/>
      <c r="H669" s="30" t="s">
        <v>3028</v>
      </c>
      <c r="I669" s="22">
        <v>60.63</v>
      </c>
      <c r="J669" s="32"/>
      <c r="K669" s="10"/>
      <c r="L669" s="32"/>
      <c r="M669" s="10"/>
      <c r="N669" s="33">
        <v>60.63</v>
      </c>
      <c r="O669" s="104">
        <v>60.63</v>
      </c>
      <c r="P669" s="185"/>
      <c r="Q669" s="185"/>
    </row>
    <row r="670" spans="5:17" hidden="1" outlineLevel="1">
      <c r="E670" s="20"/>
      <c r="F670" s="21"/>
      <c r="G670" s="22"/>
      <c r="H670" s="30" t="s">
        <v>3029</v>
      </c>
      <c r="I670" s="22">
        <v>60.63</v>
      </c>
      <c r="J670" s="32"/>
      <c r="K670" s="10"/>
      <c r="L670" s="32"/>
      <c r="M670" s="10"/>
      <c r="N670" s="33">
        <v>60.63</v>
      </c>
      <c r="O670" s="104">
        <v>60.63</v>
      </c>
      <c r="P670" s="185"/>
      <c r="Q670" s="185"/>
    </row>
    <row r="671" spans="5:17" hidden="1" outlineLevel="1">
      <c r="E671" s="20"/>
      <c r="F671" s="21"/>
      <c r="G671" s="22"/>
      <c r="H671" s="30" t="s">
        <v>2999</v>
      </c>
      <c r="I671" s="22">
        <v>246.19</v>
      </c>
      <c r="J671" s="32"/>
      <c r="K671" s="10"/>
      <c r="L671" s="32"/>
      <c r="M671" s="10"/>
      <c r="N671" s="33">
        <v>255.31</v>
      </c>
      <c r="O671" s="104">
        <v>255.31</v>
      </c>
      <c r="P671" s="185"/>
      <c r="Q671" s="185"/>
    </row>
    <row r="672" spans="5:17" hidden="1" outlineLevel="1">
      <c r="E672" s="20"/>
      <c r="F672" s="21"/>
      <c r="G672" s="22"/>
      <c r="H672" s="30"/>
      <c r="I672" s="22"/>
      <c r="J672" s="32"/>
      <c r="K672" s="10"/>
      <c r="L672" s="32"/>
      <c r="M672" s="10"/>
      <c r="N672" s="33"/>
      <c r="O672" s="58"/>
      <c r="P672" s="185"/>
      <c r="Q672" s="185"/>
    </row>
    <row r="673" spans="1:17" ht="30" hidden="1" outlineLevel="1">
      <c r="A673" s="2">
        <v>5</v>
      </c>
      <c r="B673" s="2">
        <v>6</v>
      </c>
      <c r="C673" s="2">
        <f>1+C633</f>
        <v>9</v>
      </c>
      <c r="E673" s="20" t="str">
        <f>CONCATENATE(A673,".",B673,".",C673)</f>
        <v>5.6.9</v>
      </c>
      <c r="F673" s="21" t="s">
        <v>3045</v>
      </c>
      <c r="G673" s="22" t="s">
        <v>233</v>
      </c>
      <c r="H673" s="23" t="s">
        <v>234</v>
      </c>
      <c r="I673" s="24" t="s">
        <v>144</v>
      </c>
      <c r="J673" s="32"/>
      <c r="K673" s="10"/>
      <c r="L673" s="32"/>
      <c r="M673" s="10"/>
      <c r="N673" s="33"/>
      <c r="O673" s="27">
        <f>SUM(O675:O688)</f>
        <v>66.88</v>
      </c>
      <c r="P673" s="49"/>
      <c r="Q673" s="185"/>
    </row>
    <row r="674" spans="1:17" hidden="1" outlineLevel="1">
      <c r="E674" s="20"/>
      <c r="F674" s="21"/>
      <c r="G674" s="22"/>
      <c r="H674" s="24" t="s">
        <v>2873</v>
      </c>
      <c r="I674" s="62"/>
      <c r="J674" s="37"/>
      <c r="K674" s="37"/>
      <c r="L674" s="37"/>
      <c r="M674" s="38"/>
      <c r="N674" s="38"/>
      <c r="O674" s="58"/>
      <c r="P674" s="185"/>
      <c r="Q674" s="185"/>
    </row>
    <row r="675" spans="1:17" hidden="1" outlineLevel="1">
      <c r="E675" s="54"/>
      <c r="F675" s="21"/>
      <c r="G675" s="22"/>
      <c r="H675" s="30" t="s">
        <v>3046</v>
      </c>
      <c r="I675" s="41"/>
      <c r="J675" s="41">
        <f>1.75+1.75</f>
        <v>3.5</v>
      </c>
      <c r="K675" s="41"/>
      <c r="L675" s="41"/>
      <c r="M675" s="41"/>
      <c r="N675" s="33">
        <v>2</v>
      </c>
      <c r="O675" s="58">
        <f>ROUND(PRODUCT(J675:N675),2)</f>
        <v>7</v>
      </c>
      <c r="P675" s="185"/>
      <c r="Q675" s="185"/>
    </row>
    <row r="676" spans="1:17" hidden="1" outlineLevel="1">
      <c r="E676" s="54"/>
      <c r="F676" s="21"/>
      <c r="G676" s="22"/>
      <c r="H676" s="30" t="s">
        <v>3047</v>
      </c>
      <c r="I676" s="41"/>
      <c r="J676" s="41">
        <f>17.55+1.75</f>
        <v>19.3</v>
      </c>
      <c r="K676" s="41"/>
      <c r="L676" s="41"/>
      <c r="M676" s="41"/>
      <c r="N676" s="33">
        <v>1</v>
      </c>
      <c r="O676" s="58">
        <f t="shared" ref="O676:O686" si="34">N676*J676</f>
        <v>19.3</v>
      </c>
      <c r="P676" s="28"/>
      <c r="Q676" s="185"/>
    </row>
    <row r="677" spans="1:17" hidden="1" outlineLevel="1">
      <c r="E677" s="54"/>
      <c r="F677" s="21"/>
      <c r="G677" s="22"/>
      <c r="H677" s="30" t="s">
        <v>3048</v>
      </c>
      <c r="I677" s="41"/>
      <c r="J677" s="41">
        <v>1.84</v>
      </c>
      <c r="K677" s="41"/>
      <c r="L677" s="41"/>
      <c r="M677" s="41"/>
      <c r="N677" s="33">
        <v>2</v>
      </c>
      <c r="O677" s="58">
        <f t="shared" si="34"/>
        <v>3.68</v>
      </c>
      <c r="P677" s="185"/>
      <c r="Q677" s="185"/>
    </row>
    <row r="678" spans="1:17" hidden="1" outlineLevel="1">
      <c r="E678" s="54"/>
      <c r="F678" s="21"/>
      <c r="G678" s="22"/>
      <c r="H678" s="30" t="s">
        <v>3049</v>
      </c>
      <c r="I678" s="41"/>
      <c r="J678" s="41">
        <v>3.7</v>
      </c>
      <c r="K678" s="41"/>
      <c r="L678" s="41"/>
      <c r="M678" s="41"/>
      <c r="N678" s="33">
        <v>1</v>
      </c>
      <c r="O678" s="58">
        <f t="shared" si="34"/>
        <v>3.7</v>
      </c>
      <c r="P678" s="185"/>
      <c r="Q678" s="185"/>
    </row>
    <row r="679" spans="1:17" hidden="1" outlineLevel="1">
      <c r="E679" s="54"/>
      <c r="F679" s="21"/>
      <c r="G679" s="22"/>
      <c r="H679" s="30" t="s">
        <v>3050</v>
      </c>
      <c r="I679" s="41"/>
      <c r="J679" s="41">
        <v>1.75</v>
      </c>
      <c r="K679" s="41"/>
      <c r="L679" s="41"/>
      <c r="M679" s="41"/>
      <c r="N679" s="33">
        <v>2</v>
      </c>
      <c r="O679" s="58">
        <f t="shared" si="34"/>
        <v>3.5</v>
      </c>
      <c r="P679" s="185"/>
      <c r="Q679" s="185"/>
    </row>
    <row r="680" spans="1:17" hidden="1" outlineLevel="1">
      <c r="E680" s="54"/>
      <c r="F680" s="21"/>
      <c r="G680" s="22"/>
      <c r="H680" s="30" t="s">
        <v>3051</v>
      </c>
      <c r="I680" s="41"/>
      <c r="J680" s="41">
        <v>1.5</v>
      </c>
      <c r="K680" s="41"/>
      <c r="L680" s="41"/>
      <c r="M680" s="41"/>
      <c r="N680" s="33">
        <v>2</v>
      </c>
      <c r="O680" s="58">
        <f t="shared" si="34"/>
        <v>3</v>
      </c>
      <c r="P680" s="185"/>
      <c r="Q680" s="185"/>
    </row>
    <row r="681" spans="1:17" hidden="1" outlineLevel="1">
      <c r="E681" s="54"/>
      <c r="F681" s="21"/>
      <c r="G681" s="22"/>
      <c r="H681" s="30" t="s">
        <v>3052</v>
      </c>
      <c r="I681" s="41"/>
      <c r="J681" s="41">
        <v>1</v>
      </c>
      <c r="K681" s="41"/>
      <c r="L681" s="41"/>
      <c r="M681" s="41"/>
      <c r="N681" s="33">
        <v>2</v>
      </c>
      <c r="O681" s="58">
        <f t="shared" si="34"/>
        <v>2</v>
      </c>
      <c r="P681" s="185"/>
      <c r="Q681" s="185"/>
    </row>
    <row r="682" spans="1:17" hidden="1" outlineLevel="1">
      <c r="E682" s="54"/>
      <c r="F682" s="21"/>
      <c r="G682" s="22"/>
      <c r="H682" s="30" t="s">
        <v>3053</v>
      </c>
      <c r="I682" s="41"/>
      <c r="J682" s="41">
        <v>1</v>
      </c>
      <c r="K682" s="41"/>
      <c r="L682" s="41"/>
      <c r="M682" s="41"/>
      <c r="N682" s="33">
        <v>2</v>
      </c>
      <c r="O682" s="58">
        <f t="shared" si="34"/>
        <v>2</v>
      </c>
      <c r="P682" s="185"/>
      <c r="Q682" s="185"/>
    </row>
    <row r="683" spans="1:17" hidden="1" outlineLevel="1">
      <c r="E683" s="54"/>
      <c r="F683" s="21"/>
      <c r="G683" s="22"/>
      <c r="H683" s="30" t="s">
        <v>3054</v>
      </c>
      <c r="I683" s="41"/>
      <c r="J683" s="41">
        <v>1.25</v>
      </c>
      <c r="K683" s="41"/>
      <c r="L683" s="41"/>
      <c r="M683" s="41"/>
      <c r="N683" s="33">
        <v>2</v>
      </c>
      <c r="O683" s="58">
        <f t="shared" si="34"/>
        <v>2.5</v>
      </c>
      <c r="P683" s="185"/>
      <c r="Q683" s="185"/>
    </row>
    <row r="684" spans="1:17" hidden="1" outlineLevel="1">
      <c r="E684" s="54"/>
      <c r="F684" s="21"/>
      <c r="G684" s="22"/>
      <c r="H684" s="30" t="s">
        <v>3055</v>
      </c>
      <c r="I684" s="41"/>
      <c r="J684" s="41">
        <v>1.06</v>
      </c>
      <c r="K684" s="41"/>
      <c r="L684" s="41"/>
      <c r="M684" s="41"/>
      <c r="N684" s="33">
        <v>2</v>
      </c>
      <c r="O684" s="58">
        <f t="shared" si="34"/>
        <v>2.12</v>
      </c>
      <c r="P684" s="185"/>
      <c r="Q684" s="185"/>
    </row>
    <row r="685" spans="1:17" hidden="1" outlineLevel="1">
      <c r="E685" s="54"/>
      <c r="F685" s="21"/>
      <c r="G685" s="22"/>
      <c r="H685" s="30" t="s">
        <v>3056</v>
      </c>
      <c r="I685" s="41"/>
      <c r="J685" s="41">
        <v>2</v>
      </c>
      <c r="K685" s="41"/>
      <c r="L685" s="41"/>
      <c r="M685" s="41"/>
      <c r="N685" s="33">
        <v>4</v>
      </c>
      <c r="O685" s="58">
        <f t="shared" si="34"/>
        <v>8</v>
      </c>
      <c r="P685" s="185"/>
      <c r="Q685" s="185"/>
    </row>
    <row r="686" spans="1:17" hidden="1" outlineLevel="1">
      <c r="E686" s="54"/>
      <c r="F686" s="21"/>
      <c r="G686" s="22"/>
      <c r="H686" s="30" t="s">
        <v>3057</v>
      </c>
      <c r="I686" s="41"/>
      <c r="J686" s="41">
        <v>5.42</v>
      </c>
      <c r="K686" s="41"/>
      <c r="L686" s="41"/>
      <c r="M686" s="41"/>
      <c r="N686" s="33">
        <v>1</v>
      </c>
      <c r="O686" s="58">
        <f t="shared" si="34"/>
        <v>5.42</v>
      </c>
      <c r="P686" s="185"/>
      <c r="Q686" s="185"/>
    </row>
    <row r="687" spans="1:17" hidden="1" outlineLevel="1">
      <c r="E687" s="20"/>
      <c r="F687" s="21"/>
      <c r="G687" s="22"/>
      <c r="H687" s="24" t="s">
        <v>3037</v>
      </c>
      <c r="I687" s="62"/>
      <c r="J687" s="37"/>
      <c r="K687" s="37"/>
      <c r="L687" s="37"/>
      <c r="M687" s="38"/>
      <c r="N687" s="38"/>
      <c r="O687" s="58"/>
      <c r="P687" s="185"/>
      <c r="Q687" s="185"/>
    </row>
    <row r="688" spans="1:17" hidden="1" outlineLevel="1">
      <c r="E688" s="54"/>
      <c r="F688" s="21"/>
      <c r="G688" s="22"/>
      <c r="H688" s="30" t="s">
        <v>3057</v>
      </c>
      <c r="I688" s="41"/>
      <c r="J688" s="41">
        <v>4.66</v>
      </c>
      <c r="K688" s="41"/>
      <c r="L688" s="41"/>
      <c r="M688" s="41"/>
      <c r="N688" s="33">
        <v>1</v>
      </c>
      <c r="O688" s="58">
        <f>N688*J688</f>
        <v>4.66</v>
      </c>
      <c r="P688" s="185"/>
      <c r="Q688" s="185"/>
    </row>
    <row r="689" spans="1:17" hidden="1" outlineLevel="1">
      <c r="E689" s="54"/>
      <c r="F689" s="21"/>
      <c r="G689" s="22"/>
      <c r="H689" s="30"/>
      <c r="I689" s="41"/>
      <c r="J689" s="41"/>
      <c r="K689" s="41"/>
      <c r="L689" s="41"/>
      <c r="M689" s="41"/>
      <c r="N689" s="33"/>
      <c r="O689" s="58"/>
      <c r="P689" s="185"/>
      <c r="Q689" s="185"/>
    </row>
    <row r="690" spans="1:17" hidden="1" outlineLevel="1">
      <c r="A690" s="2">
        <v>5</v>
      </c>
      <c r="B690" s="2">
        <v>6</v>
      </c>
      <c r="C690" s="2">
        <f>1+C673</f>
        <v>10</v>
      </c>
      <c r="E690" s="20" t="str">
        <f>CONCATENATE(A690,".",B690,".",C690)</f>
        <v>5.6.10</v>
      </c>
      <c r="F690" s="21" t="s">
        <v>3058</v>
      </c>
      <c r="G690" s="22" t="s">
        <v>236</v>
      </c>
      <c r="H690" s="23" t="s">
        <v>237</v>
      </c>
      <c r="I690" s="24" t="s">
        <v>144</v>
      </c>
      <c r="J690" s="32"/>
      <c r="K690" s="10"/>
      <c r="L690" s="32"/>
      <c r="M690" s="10"/>
      <c r="N690" s="33"/>
      <c r="O690" s="103">
        <f>SUM(O691:O692)</f>
        <v>63.800000000000004</v>
      </c>
      <c r="P690" s="185"/>
      <c r="Q690" s="185"/>
    </row>
    <row r="691" spans="1:17" hidden="1" outlineLevel="1">
      <c r="E691" s="20"/>
      <c r="F691" s="21"/>
      <c r="G691" s="22"/>
      <c r="H691" s="30"/>
      <c r="I691" s="22"/>
      <c r="J691" s="32"/>
      <c r="K691" s="33">
        <v>0.9</v>
      </c>
      <c r="L691" s="32"/>
      <c r="M691" s="10"/>
      <c r="N691" s="33">
        <f>24+17+1+19+1</f>
        <v>62</v>
      </c>
      <c r="O691" s="104">
        <f>K691*N691</f>
        <v>55.800000000000004</v>
      </c>
      <c r="P691" s="185"/>
      <c r="Q691" s="185"/>
    </row>
    <row r="692" spans="1:17" hidden="1" outlineLevel="1">
      <c r="E692" s="20"/>
      <c r="F692" s="21"/>
      <c r="G692" s="22"/>
      <c r="H692" s="30"/>
      <c r="I692" s="22"/>
      <c r="J692" s="32"/>
      <c r="K692" s="33">
        <v>1.6</v>
      </c>
      <c r="L692" s="32"/>
      <c r="M692" s="10"/>
      <c r="N692" s="33">
        <v>5</v>
      </c>
      <c r="O692" s="104">
        <f>K692*N692</f>
        <v>8</v>
      </c>
      <c r="P692" s="185"/>
      <c r="Q692" s="185"/>
    </row>
    <row r="693" spans="1:17" ht="30" hidden="1" outlineLevel="1">
      <c r="A693" s="101">
        <v>5</v>
      </c>
      <c r="B693" s="101">
        <v>6</v>
      </c>
      <c r="C693" s="101">
        <f>C690+1</f>
        <v>11</v>
      </c>
      <c r="D693" s="101"/>
      <c r="E693" s="102" t="str">
        <f>CONCATENATE(A693,".",B693,".",C693)</f>
        <v>5.6.11</v>
      </c>
      <c r="F693" s="21" t="s">
        <v>3059</v>
      </c>
      <c r="G693" s="22">
        <v>101749</v>
      </c>
      <c r="H693" s="23" t="s">
        <v>240</v>
      </c>
      <c r="I693" s="24" t="s">
        <v>45</v>
      </c>
      <c r="J693" s="32"/>
      <c r="K693" s="10"/>
      <c r="L693" s="32"/>
      <c r="M693" s="10"/>
      <c r="N693" s="33"/>
      <c r="O693" s="103">
        <f>SUM(O694:O694)</f>
        <v>483.9</v>
      </c>
      <c r="P693" s="185"/>
      <c r="Q693" s="185"/>
    </row>
    <row r="694" spans="1:17" hidden="1" outlineLevel="1">
      <c r="E694" s="20"/>
      <c r="F694" s="21"/>
      <c r="G694" s="22"/>
      <c r="H694" s="30" t="s">
        <v>3060</v>
      </c>
      <c r="I694" s="22"/>
      <c r="J694" s="32"/>
      <c r="K694" s="10"/>
      <c r="L694" s="32"/>
      <c r="M694" s="10"/>
      <c r="N694" s="33">
        <f>399.85+84.05</f>
        <v>483.90000000000003</v>
      </c>
      <c r="O694" s="104">
        <f>ROUND(PRODUCT(J694:N694),2)</f>
        <v>483.9</v>
      </c>
      <c r="P694" s="185"/>
      <c r="Q694" s="185"/>
    </row>
    <row r="695" spans="1:17" ht="30" hidden="1" outlineLevel="1">
      <c r="A695" s="2">
        <v>5</v>
      </c>
      <c r="B695" s="2">
        <v>6</v>
      </c>
      <c r="C695" s="2">
        <f>1+C647</f>
        <v>1</v>
      </c>
      <c r="E695" s="54" t="str">
        <f>CONCATENATE(A695,".",B695,".",C695)</f>
        <v>5.6.1</v>
      </c>
      <c r="F695" s="21" t="s">
        <v>3061</v>
      </c>
      <c r="G695" s="22">
        <v>104658</v>
      </c>
      <c r="H695" s="23" t="s">
        <v>3062</v>
      </c>
      <c r="I695" s="24" t="s">
        <v>45</v>
      </c>
      <c r="J695" s="32"/>
      <c r="K695" s="10"/>
      <c r="L695" s="32"/>
      <c r="M695" s="10"/>
      <c r="N695" s="33"/>
      <c r="O695" s="103">
        <f>SUM(O696:O698)</f>
        <v>5.4399999999999995</v>
      </c>
      <c r="P695" s="49"/>
      <c r="Q695" s="185"/>
    </row>
    <row r="696" spans="1:17" hidden="1" outlineLevel="1">
      <c r="E696" s="54"/>
      <c r="F696" s="21"/>
      <c r="G696" s="22"/>
      <c r="H696" s="30" t="s">
        <v>3063</v>
      </c>
      <c r="I696" s="41"/>
      <c r="J696" s="41"/>
      <c r="K696" s="41">
        <v>8.75</v>
      </c>
      <c r="L696" s="41">
        <v>0.25</v>
      </c>
      <c r="M696" s="41"/>
      <c r="N696" s="33"/>
      <c r="O696" s="104">
        <f>ROUND(PRODUCT(J696:N696),2)</f>
        <v>2.19</v>
      </c>
      <c r="P696" s="185"/>
      <c r="Q696" s="49"/>
    </row>
    <row r="697" spans="1:17" hidden="1" outlineLevel="1">
      <c r="E697" s="54"/>
      <c r="F697" s="21"/>
      <c r="G697" s="22"/>
      <c r="H697" s="30" t="s">
        <v>3064</v>
      </c>
      <c r="I697" s="41"/>
      <c r="J697" s="41"/>
      <c r="K697" s="41">
        <f>1.25+1.5+0.75+1.5</f>
        <v>5</v>
      </c>
      <c r="L697" s="41">
        <v>0.25</v>
      </c>
      <c r="M697" s="41"/>
      <c r="N697" s="33"/>
      <c r="O697" s="104">
        <f>ROUND(PRODUCT(J697:N697),2)</f>
        <v>1.25</v>
      </c>
      <c r="P697" s="28"/>
      <c r="Q697" s="185"/>
    </row>
    <row r="698" spans="1:17" hidden="1" outlineLevel="1">
      <c r="E698" s="54"/>
      <c r="F698" s="21"/>
      <c r="G698" s="22"/>
      <c r="H698" s="30" t="s">
        <v>3065</v>
      </c>
      <c r="I698" s="41"/>
      <c r="J698" s="41"/>
      <c r="K698" s="41">
        <f>1.25+1.25+1+1+3.5</f>
        <v>8</v>
      </c>
      <c r="L698" s="41">
        <v>0.25</v>
      </c>
      <c r="M698" s="41"/>
      <c r="N698" s="33"/>
      <c r="O698" s="104">
        <f>ROUND(PRODUCT(J698:N698),2)</f>
        <v>2</v>
      </c>
      <c r="P698" s="185"/>
      <c r="Q698" s="185"/>
    </row>
    <row r="699" spans="1:17" collapsed="1">
      <c r="E699" s="52" t="s">
        <v>256</v>
      </c>
      <c r="F699" s="53" t="s">
        <v>256</v>
      </c>
      <c r="G699" s="13"/>
      <c r="H699" s="14" t="s">
        <v>257</v>
      </c>
      <c r="I699" s="15"/>
      <c r="J699" s="16"/>
      <c r="K699" s="17"/>
      <c r="L699" s="16"/>
      <c r="M699" s="17"/>
      <c r="N699" s="18"/>
      <c r="O699" s="19"/>
      <c r="P699" s="185"/>
      <c r="Q699" s="185"/>
    </row>
    <row r="700" spans="1:17" ht="45" hidden="1" outlineLevel="1">
      <c r="A700" s="2">
        <v>5</v>
      </c>
      <c r="B700" s="2">
        <v>7</v>
      </c>
      <c r="C700" s="2">
        <v>1</v>
      </c>
      <c r="E700" s="20" t="str">
        <f>CONCATENATE(A700,".",B700,".",C700)</f>
        <v>5.7.1</v>
      </c>
      <c r="F700" s="21" t="s">
        <v>3066</v>
      </c>
      <c r="G700" s="22" t="s">
        <v>259</v>
      </c>
      <c r="H700" s="23" t="s">
        <v>3067</v>
      </c>
      <c r="I700" s="24" t="s">
        <v>45</v>
      </c>
      <c r="J700" s="32"/>
      <c r="K700" s="10"/>
      <c r="L700" s="32"/>
      <c r="M700" s="10"/>
      <c r="N700" s="33"/>
      <c r="O700" s="11">
        <f>SUM(O701:O805)</f>
        <v>3344.9199999999978</v>
      </c>
      <c r="P700" s="185"/>
      <c r="Q700" s="185"/>
    </row>
    <row r="701" spans="1:17" hidden="1" outlineLevel="1">
      <c r="E701" s="20"/>
      <c r="F701" s="21"/>
      <c r="G701" s="22"/>
      <c r="H701" s="105" t="s">
        <v>2874</v>
      </c>
      <c r="I701" s="55"/>
      <c r="J701" s="56"/>
      <c r="K701" s="57">
        <v>25</v>
      </c>
      <c r="L701" s="57"/>
      <c r="M701" s="57">
        <v>3.55</v>
      </c>
      <c r="N701" s="38"/>
      <c r="O701" s="58">
        <f t="shared" ref="O701:O770" si="35">ROUND(PRODUCT(J701:N701),2)</f>
        <v>88.75</v>
      </c>
      <c r="P701" s="185"/>
      <c r="Q701" s="185"/>
    </row>
    <row r="702" spans="1:17" hidden="1" outlineLevel="1">
      <c r="E702" s="20"/>
      <c r="F702" s="21"/>
      <c r="G702" s="22"/>
      <c r="H702" s="30" t="str">
        <f>CONCATENATE(H701," - ","VÃO")</f>
        <v>RECEPÇÃO SECRETARIA - VÃO</v>
      </c>
      <c r="I702" s="55"/>
      <c r="J702" s="56">
        <v>-1</v>
      </c>
      <c r="K702" s="57"/>
      <c r="L702" s="57"/>
      <c r="M702" s="57"/>
      <c r="N702" s="38">
        <f>1.92*0.66+1.92*0.46+3.81*0.46+3.81*1.26+0.9*2.1*2</f>
        <v>12.483600000000003</v>
      </c>
      <c r="O702" s="58">
        <f t="shared" si="35"/>
        <v>-12.48</v>
      </c>
      <c r="P702" s="185"/>
      <c r="Q702" s="185"/>
    </row>
    <row r="703" spans="1:17" hidden="1" outlineLevel="1">
      <c r="E703" s="20"/>
      <c r="F703" s="21"/>
      <c r="G703" s="22"/>
      <c r="H703" s="30" t="s">
        <v>3068</v>
      </c>
      <c r="I703" s="55"/>
      <c r="J703" s="56"/>
      <c r="K703" s="57">
        <v>9.15</v>
      </c>
      <c r="L703" s="57"/>
      <c r="M703" s="57">
        <v>3.55</v>
      </c>
      <c r="N703" s="38"/>
      <c r="O703" s="58">
        <f>ROUND(PRODUCT(J703:N703),2)</f>
        <v>32.479999999999997</v>
      </c>
      <c r="P703" s="185"/>
      <c r="Q703" s="185"/>
    </row>
    <row r="704" spans="1:17" hidden="1" outlineLevel="1">
      <c r="E704" s="20"/>
      <c r="F704" s="21"/>
      <c r="G704" s="22"/>
      <c r="H704" s="30" t="str">
        <f>CONCATENATE(H703," - ","VÃO")</f>
        <v>ALMOXARIFADO SEC - VÃO</v>
      </c>
      <c r="I704" s="55"/>
      <c r="J704" s="56">
        <v>-1</v>
      </c>
      <c r="K704" s="57"/>
      <c r="L704" s="57"/>
      <c r="M704" s="57"/>
      <c r="N704" s="38">
        <f>1.92*0.66+0.9*2.1</f>
        <v>3.1572000000000005</v>
      </c>
      <c r="O704" s="58">
        <f>ROUND(PRODUCT(J704:N704),2)</f>
        <v>-3.16</v>
      </c>
      <c r="P704" s="185"/>
      <c r="Q704" s="185"/>
    </row>
    <row r="705" spans="5:17" hidden="1" outlineLevel="1">
      <c r="E705" s="20"/>
      <c r="F705" s="21"/>
      <c r="G705" s="22"/>
      <c r="H705" s="30" t="s">
        <v>2991</v>
      </c>
      <c r="I705" s="55"/>
      <c r="J705" s="56"/>
      <c r="K705" s="57">
        <v>13.45</v>
      </c>
      <c r="L705" s="57"/>
      <c r="M705" s="57">
        <v>3.55</v>
      </c>
      <c r="N705" s="38"/>
      <c r="O705" s="58">
        <f>ROUND(PRODUCT(J705:N705),2)</f>
        <v>47.75</v>
      </c>
      <c r="P705" s="185"/>
      <c r="Q705" s="185"/>
    </row>
    <row r="706" spans="5:17" hidden="1" outlineLevel="1">
      <c r="E706" s="20"/>
      <c r="F706" s="21"/>
      <c r="G706" s="22"/>
      <c r="H706" s="30" t="str">
        <f>CONCATENATE(H705," - ","VÃO")</f>
        <v>REPROGRAFIA - VÃO</v>
      </c>
      <c r="I706" s="55"/>
      <c r="J706" s="56">
        <v>-1</v>
      </c>
      <c r="K706" s="57"/>
      <c r="L706" s="57"/>
      <c r="M706" s="57"/>
      <c r="N706" s="38">
        <f>1.92*0.46</f>
        <v>0.88319999999999999</v>
      </c>
      <c r="O706" s="58">
        <f>ROUND(PRODUCT(J706:N706),2)</f>
        <v>-0.88</v>
      </c>
      <c r="P706" s="185"/>
      <c r="Q706" s="185"/>
    </row>
    <row r="707" spans="5:17" hidden="1" outlineLevel="1">
      <c r="E707" s="20"/>
      <c r="F707" s="21"/>
      <c r="G707" s="22"/>
      <c r="H707" s="105" t="s">
        <v>2875</v>
      </c>
      <c r="I707" s="55"/>
      <c r="J707" s="56"/>
      <c r="K707" s="57">
        <f>(4.05+3.35)*2</f>
        <v>14.8</v>
      </c>
      <c r="L707" s="57"/>
      <c r="M707" s="57">
        <v>3.55</v>
      </c>
      <c r="N707" s="38"/>
      <c r="O707" s="58">
        <f t="shared" si="35"/>
        <v>52.54</v>
      </c>
      <c r="P707" s="185"/>
      <c r="Q707" s="185"/>
    </row>
    <row r="708" spans="5:17" hidden="1" outlineLevel="1">
      <c r="E708" s="20"/>
      <c r="F708" s="21"/>
      <c r="G708" s="22"/>
      <c r="H708" s="30" t="str">
        <f>CONCATENATE(H707," - ","VÃO")</f>
        <v>COORD. PEDAGÓGICA - VÃO</v>
      </c>
      <c r="I708" s="55"/>
      <c r="J708" s="56">
        <v>-1</v>
      </c>
      <c r="K708" s="57"/>
      <c r="L708" s="57"/>
      <c r="M708" s="57"/>
      <c r="N708" s="38">
        <f>3.81*1.26+0.9*2.1</f>
        <v>6.6905999999999999</v>
      </c>
      <c r="O708" s="58">
        <f t="shared" si="35"/>
        <v>-6.69</v>
      </c>
      <c r="P708" s="185"/>
      <c r="Q708" s="185"/>
    </row>
    <row r="709" spans="5:17" hidden="1" outlineLevel="1">
      <c r="E709" s="20"/>
      <c r="F709" s="21"/>
      <c r="G709" s="22"/>
      <c r="H709" s="105" t="s">
        <v>2876</v>
      </c>
      <c r="I709" s="55"/>
      <c r="J709" s="56"/>
      <c r="K709" s="57">
        <f>(4.05+3.35)*2</f>
        <v>14.8</v>
      </c>
      <c r="L709" s="57"/>
      <c r="M709" s="57">
        <v>3.55</v>
      </c>
      <c r="N709" s="38"/>
      <c r="O709" s="58">
        <f t="shared" si="35"/>
        <v>52.54</v>
      </c>
      <c r="P709" s="185"/>
      <c r="Q709" s="185"/>
    </row>
    <row r="710" spans="5:17" hidden="1" outlineLevel="1">
      <c r="E710" s="20"/>
      <c r="F710" s="21"/>
      <c r="G710" s="22"/>
      <c r="H710" s="30" t="str">
        <f>CONCATENATE(H709," - ","VÃO")</f>
        <v>COORD. ESTÁGIO - VÃO</v>
      </c>
      <c r="I710" s="55"/>
      <c r="J710" s="56">
        <v>-1</v>
      </c>
      <c r="K710" s="57"/>
      <c r="L710" s="57"/>
      <c r="M710" s="57"/>
      <c r="N710" s="38">
        <f>0.9*2.1+3.81*0.46</f>
        <v>3.6426000000000003</v>
      </c>
      <c r="O710" s="58">
        <f t="shared" si="35"/>
        <v>-3.64</v>
      </c>
      <c r="P710" s="185"/>
      <c r="Q710" s="185"/>
    </row>
    <row r="711" spans="5:17" hidden="1" outlineLevel="1">
      <c r="E711" s="20"/>
      <c r="F711" s="21"/>
      <c r="G711" s="22"/>
      <c r="H711" s="105" t="s">
        <v>2877</v>
      </c>
      <c r="I711" s="55"/>
      <c r="J711" s="56"/>
      <c r="K711" s="57">
        <v>15.18</v>
      </c>
      <c r="L711" s="57"/>
      <c r="M711" s="57">
        <v>3.55</v>
      </c>
      <c r="N711" s="38"/>
      <c r="O711" s="58">
        <f t="shared" si="35"/>
        <v>53.89</v>
      </c>
      <c r="P711" s="185"/>
      <c r="Q711" s="185"/>
    </row>
    <row r="712" spans="5:17" hidden="1" outlineLevel="1">
      <c r="E712" s="20"/>
      <c r="F712" s="21"/>
      <c r="G712" s="22"/>
      <c r="H712" s="30" t="str">
        <f>CONCATENATE(H711," - ","VÃO")</f>
        <v>RECEPÇÃO - VÃO</v>
      </c>
      <c r="I712" s="55"/>
      <c r="J712" s="56">
        <v>-1</v>
      </c>
      <c r="K712" s="57"/>
      <c r="L712" s="57"/>
      <c r="M712" s="57"/>
      <c r="N712" s="38">
        <f>0.9*2.1*3+2.55*1.26</f>
        <v>8.8829999999999991</v>
      </c>
      <c r="O712" s="58">
        <f t="shared" si="35"/>
        <v>-8.8800000000000008</v>
      </c>
      <c r="P712" s="185"/>
      <c r="Q712" s="185"/>
    </row>
    <row r="713" spans="5:17" hidden="1" outlineLevel="1">
      <c r="E713" s="20"/>
      <c r="F713" s="21"/>
      <c r="G713" s="22"/>
      <c r="H713" s="105" t="s">
        <v>2878</v>
      </c>
      <c r="I713" s="55"/>
      <c r="J713" s="56"/>
      <c r="K713" s="57">
        <v>7.3</v>
      </c>
      <c r="L713" s="57"/>
      <c r="M713" s="57">
        <v>3.55</v>
      </c>
      <c r="N713" s="38"/>
      <c r="O713" s="58">
        <f t="shared" si="35"/>
        <v>25.92</v>
      </c>
      <c r="P713" s="185"/>
      <c r="Q713" s="185"/>
    </row>
    <row r="714" spans="5:17" hidden="1" outlineLevel="1">
      <c r="E714" s="20"/>
      <c r="F714" s="21"/>
      <c r="G714" s="22"/>
      <c r="H714" s="30" t="str">
        <f>CONCATENATE(H713," - ","VÃO")</f>
        <v>WC PCD FEM - VÃO</v>
      </c>
      <c r="I714" s="55"/>
      <c r="J714" s="56">
        <v>-1</v>
      </c>
      <c r="K714" s="57"/>
      <c r="L714" s="57"/>
      <c r="M714" s="57"/>
      <c r="N714" s="38">
        <f>1.29*0.46+2.1*0.9</f>
        <v>2.4834000000000001</v>
      </c>
      <c r="O714" s="58">
        <f t="shared" si="35"/>
        <v>-2.48</v>
      </c>
      <c r="P714" s="185"/>
      <c r="Q714" s="185"/>
    </row>
    <row r="715" spans="5:17" hidden="1" outlineLevel="1">
      <c r="E715" s="20"/>
      <c r="F715" s="21"/>
      <c r="G715" s="22"/>
      <c r="H715" s="105" t="s">
        <v>2879</v>
      </c>
      <c r="I715" s="55"/>
      <c r="J715" s="56"/>
      <c r="K715" s="57">
        <f>1.59*2+2.06*2</f>
        <v>7.3000000000000007</v>
      </c>
      <c r="L715" s="57"/>
      <c r="M715" s="57">
        <v>3.55</v>
      </c>
      <c r="N715" s="38"/>
      <c r="O715" s="58">
        <f t="shared" si="35"/>
        <v>25.92</v>
      </c>
      <c r="P715" s="185"/>
      <c r="Q715" s="185"/>
    </row>
    <row r="716" spans="5:17" hidden="1" outlineLevel="1">
      <c r="E716" s="20"/>
      <c r="F716" s="21"/>
      <c r="G716" s="22"/>
      <c r="H716" s="30" t="str">
        <f>CONCATENATE(H715," - ","VÃO")</f>
        <v>WC PCD MAS - VÃO</v>
      </c>
      <c r="I716" s="55"/>
      <c r="J716" s="56">
        <v>-1</v>
      </c>
      <c r="K716" s="57"/>
      <c r="L716" s="57"/>
      <c r="M716" s="57"/>
      <c r="N716" s="38">
        <f>1.29*0.46+2.1*0.9</f>
        <v>2.4834000000000001</v>
      </c>
      <c r="O716" s="58">
        <f t="shared" si="35"/>
        <v>-2.48</v>
      </c>
      <c r="P716" s="185"/>
      <c r="Q716" s="185"/>
    </row>
    <row r="717" spans="5:17" hidden="1" outlineLevel="1">
      <c r="E717" s="20"/>
      <c r="F717" s="21"/>
      <c r="G717" s="22"/>
      <c r="H717" s="105" t="s">
        <v>2880</v>
      </c>
      <c r="I717" s="55"/>
      <c r="J717" s="56"/>
      <c r="K717" s="57">
        <v>14.24</v>
      </c>
      <c r="L717" s="57"/>
      <c r="M717" s="57">
        <v>3.55</v>
      </c>
      <c r="N717" s="38"/>
      <c r="O717" s="58">
        <f t="shared" si="35"/>
        <v>50.55</v>
      </c>
      <c r="P717" s="185"/>
      <c r="Q717" s="185"/>
    </row>
    <row r="718" spans="5:17" hidden="1" outlineLevel="1">
      <c r="E718" s="20"/>
      <c r="F718" s="21"/>
      <c r="G718" s="22"/>
      <c r="H718" s="30" t="str">
        <f>CONCATENATE(H717," - ","VÃO")</f>
        <v>COPA - VÃO</v>
      </c>
      <c r="I718" s="55"/>
      <c r="J718" s="56">
        <v>-1</v>
      </c>
      <c r="K718" s="57"/>
      <c r="L718" s="57"/>
      <c r="M718" s="57"/>
      <c r="N718" s="38">
        <f>0.9*2.1+3.81*0.46</f>
        <v>3.6426000000000003</v>
      </c>
      <c r="O718" s="58">
        <f t="shared" si="35"/>
        <v>-3.64</v>
      </c>
      <c r="P718" s="185"/>
      <c r="Q718" s="185"/>
    </row>
    <row r="719" spans="5:17" hidden="1" outlineLevel="1">
      <c r="E719" s="20"/>
      <c r="F719" s="21"/>
      <c r="G719" s="22"/>
      <c r="H719" s="105" t="s">
        <v>3069</v>
      </c>
      <c r="I719" s="55"/>
      <c r="J719" s="56"/>
      <c r="K719" s="57">
        <v>18.14</v>
      </c>
      <c r="L719" s="57"/>
      <c r="M719" s="57">
        <v>3.55</v>
      </c>
      <c r="N719" s="38"/>
      <c r="O719" s="58">
        <f t="shared" si="35"/>
        <v>64.400000000000006</v>
      </c>
      <c r="P719" s="185"/>
      <c r="Q719" s="185"/>
    </row>
    <row r="720" spans="5:17" hidden="1" outlineLevel="1">
      <c r="E720" s="20"/>
      <c r="F720" s="21"/>
      <c r="G720" s="22"/>
      <c r="H720" s="30" t="str">
        <f>CONCATENATE(H719," - ","VÃO")</f>
        <v>CIRCULAÇÃO 1 AO LADO DA DIRETORIA - VÃO</v>
      </c>
      <c r="I720" s="55"/>
      <c r="J720" s="56">
        <v>-1</v>
      </c>
      <c r="K720" s="57"/>
      <c r="L720" s="57"/>
      <c r="M720" s="57"/>
      <c r="N720" s="38">
        <f>0.9*2.1*4</f>
        <v>7.5600000000000005</v>
      </c>
      <c r="O720" s="58">
        <f t="shared" si="35"/>
        <v>-7.56</v>
      </c>
      <c r="P720" s="185"/>
      <c r="Q720" s="185"/>
    </row>
    <row r="721" spans="5:17" hidden="1" outlineLevel="1">
      <c r="E721" s="20"/>
      <c r="F721" s="21"/>
      <c r="G721" s="22"/>
      <c r="H721" s="105" t="s">
        <v>2882</v>
      </c>
      <c r="I721" s="55"/>
      <c r="J721" s="56"/>
      <c r="K721" s="57">
        <v>17.62</v>
      </c>
      <c r="L721" s="57"/>
      <c r="M721" s="57">
        <v>3.55</v>
      </c>
      <c r="N721" s="38"/>
      <c r="O721" s="58">
        <f t="shared" si="35"/>
        <v>62.55</v>
      </c>
      <c r="P721" s="185"/>
      <c r="Q721" s="185"/>
    </row>
    <row r="722" spans="5:17" hidden="1" outlineLevel="1">
      <c r="E722" s="20"/>
      <c r="F722" s="21"/>
      <c r="G722" s="22"/>
      <c r="H722" s="30" t="str">
        <f>CONCATENATE(H721," - ","VÃO")</f>
        <v>DIRETORIA - VÃO</v>
      </c>
      <c r="I722" s="55"/>
      <c r="J722" s="56">
        <v>-1</v>
      </c>
      <c r="K722" s="57"/>
      <c r="L722" s="57"/>
      <c r="M722" s="57"/>
      <c r="N722" s="38">
        <f>2*0.9*2.1+3.81*1.26</f>
        <v>8.5806000000000004</v>
      </c>
      <c r="O722" s="58">
        <f t="shared" si="35"/>
        <v>-8.58</v>
      </c>
      <c r="P722" s="185"/>
      <c r="Q722" s="185"/>
    </row>
    <row r="723" spans="5:17" hidden="1" outlineLevel="1">
      <c r="E723" s="20"/>
      <c r="F723" s="21"/>
      <c r="G723" s="22"/>
      <c r="H723" s="105" t="s">
        <v>3070</v>
      </c>
      <c r="I723" s="55"/>
      <c r="J723" s="56"/>
      <c r="K723" s="57">
        <f>8.7*2</f>
        <v>17.399999999999999</v>
      </c>
      <c r="L723" s="57"/>
      <c r="M723" s="57">
        <v>3.55</v>
      </c>
      <c r="N723" s="38"/>
      <c r="O723" s="58">
        <f t="shared" si="35"/>
        <v>61.77</v>
      </c>
      <c r="P723" s="185"/>
      <c r="Q723" s="185"/>
    </row>
    <row r="724" spans="5:17" hidden="1" outlineLevel="1">
      <c r="E724" s="20"/>
      <c r="F724" s="21"/>
      <c r="G724" s="22"/>
      <c r="H724" s="30" t="str">
        <f>CONCATENATE(H723," - ","VÃO")</f>
        <v>WC DIR E BWC FUNC - VÃO</v>
      </c>
      <c r="I724" s="55"/>
      <c r="J724" s="56">
        <v>-1</v>
      </c>
      <c r="K724" s="57"/>
      <c r="L724" s="57"/>
      <c r="M724" s="57"/>
      <c r="N724" s="38">
        <f>0.9*2.1+0.66*0.46</f>
        <v>2.1936</v>
      </c>
      <c r="O724" s="58">
        <f t="shared" si="35"/>
        <v>-2.19</v>
      </c>
      <c r="P724" s="185"/>
      <c r="Q724" s="185"/>
    </row>
    <row r="725" spans="5:17" hidden="1" outlineLevel="1">
      <c r="E725" s="20"/>
      <c r="F725" s="21"/>
      <c r="G725" s="22"/>
      <c r="H725" s="105" t="s">
        <v>2883</v>
      </c>
      <c r="I725" s="55"/>
      <c r="J725" s="56"/>
      <c r="K725" s="57">
        <f>(7.89+4.51)*2</f>
        <v>24.799999999999997</v>
      </c>
      <c r="L725" s="57"/>
      <c r="M725" s="57">
        <v>3.55</v>
      </c>
      <c r="N725" s="38"/>
      <c r="O725" s="58">
        <f t="shared" si="35"/>
        <v>88.04</v>
      </c>
      <c r="P725" s="185"/>
      <c r="Q725" s="185"/>
    </row>
    <row r="726" spans="5:17" hidden="1" outlineLevel="1">
      <c r="E726" s="20"/>
      <c r="F726" s="21"/>
      <c r="G726" s="22"/>
      <c r="H726" s="30" t="str">
        <f>CONCATENATE(H725," - ","VÃO")</f>
        <v>SALA PROFESSORES - VÃO</v>
      </c>
      <c r="I726" s="55"/>
      <c r="J726" s="56">
        <v>-1</v>
      </c>
      <c r="K726" s="57"/>
      <c r="L726" s="57"/>
      <c r="M726" s="57"/>
      <c r="N726" s="38">
        <f>7.7*0.3+2*(3.81*1.26+0.9*2.1)</f>
        <v>15.6912</v>
      </c>
      <c r="O726" s="58">
        <f t="shared" si="35"/>
        <v>-15.69</v>
      </c>
      <c r="P726" s="185"/>
      <c r="Q726" s="185"/>
    </row>
    <row r="727" spans="5:17" hidden="1" outlineLevel="1">
      <c r="E727" s="20"/>
      <c r="F727" s="21"/>
      <c r="G727" s="22"/>
      <c r="H727" s="105" t="s">
        <v>2884</v>
      </c>
      <c r="I727" s="55"/>
      <c r="J727" s="56"/>
      <c r="K727" s="57">
        <v>20.11</v>
      </c>
      <c r="L727" s="57"/>
      <c r="M727" s="57">
        <v>3.55</v>
      </c>
      <c r="N727" s="38"/>
      <c r="O727" s="58">
        <f t="shared" si="35"/>
        <v>71.39</v>
      </c>
      <c r="P727" s="185"/>
      <c r="Q727" s="185"/>
    </row>
    <row r="728" spans="5:17" hidden="1" outlineLevel="1">
      <c r="E728" s="20"/>
      <c r="F728" s="21"/>
      <c r="G728" s="22"/>
      <c r="H728" s="30" t="str">
        <f>CONCATENATE(H727," - ","VÃO")</f>
        <v>MULTIMIDIA PROF - VÃO</v>
      </c>
      <c r="I728" s="55"/>
      <c r="J728" s="56">
        <v>-1</v>
      </c>
      <c r="K728" s="57"/>
      <c r="L728" s="57"/>
      <c r="M728" s="57"/>
      <c r="N728" s="38">
        <f>3.81*0.46*2+0.9*2.1+7.7*0.3</f>
        <v>7.7052000000000014</v>
      </c>
      <c r="O728" s="58">
        <f t="shared" si="35"/>
        <v>-7.71</v>
      </c>
      <c r="P728" s="185"/>
      <c r="Q728" s="185"/>
    </row>
    <row r="729" spans="5:17" hidden="1" outlineLevel="1">
      <c r="E729" s="20"/>
      <c r="F729" s="21"/>
      <c r="G729" s="22"/>
      <c r="H729" s="105" t="s">
        <v>2885</v>
      </c>
      <c r="I729" s="55"/>
      <c r="J729" s="56"/>
      <c r="K729" s="57">
        <f>(8.85+6.85)*2</f>
        <v>31.4</v>
      </c>
      <c r="L729" s="57"/>
      <c r="M729" s="57">
        <v>3.55</v>
      </c>
      <c r="N729" s="38"/>
      <c r="O729" s="58">
        <f t="shared" si="35"/>
        <v>111.47</v>
      </c>
      <c r="P729" s="185"/>
      <c r="Q729" s="185"/>
    </row>
    <row r="730" spans="5:17" hidden="1" outlineLevel="1">
      <c r="E730" s="20"/>
      <c r="F730" s="21"/>
      <c r="G730" s="22"/>
      <c r="H730" s="30" t="str">
        <f>CONCATENATE(H729," - ","VÃO")</f>
        <v>LABORATÓRIO LINGUAS - VÃO</v>
      </c>
      <c r="I730" s="55"/>
      <c r="J730" s="56">
        <v>-1</v>
      </c>
      <c r="K730" s="57"/>
      <c r="L730" s="57"/>
      <c r="M730" s="57"/>
      <c r="N730" s="38">
        <f>2*3.81*1.26+2*3.81*0.46+0.9*2.1</f>
        <v>14.996400000000001</v>
      </c>
      <c r="O730" s="58">
        <f t="shared" si="35"/>
        <v>-15</v>
      </c>
      <c r="P730" s="185"/>
      <c r="Q730" s="185"/>
    </row>
    <row r="731" spans="5:17" hidden="1" outlineLevel="1">
      <c r="E731" s="20"/>
      <c r="F731" s="21"/>
      <c r="G731" s="22"/>
      <c r="H731" s="105" t="s">
        <v>2886</v>
      </c>
      <c r="I731" s="55"/>
      <c r="J731" s="56"/>
      <c r="K731" s="57">
        <f>K729</f>
        <v>31.4</v>
      </c>
      <c r="L731" s="57"/>
      <c r="M731" s="57">
        <v>3.55</v>
      </c>
      <c r="N731" s="38"/>
      <c r="O731" s="58">
        <f t="shared" si="35"/>
        <v>111.47</v>
      </c>
      <c r="P731" s="185"/>
      <c r="Q731" s="185"/>
    </row>
    <row r="732" spans="5:17" hidden="1" outlineLevel="1">
      <c r="E732" s="20"/>
      <c r="F732" s="21"/>
      <c r="G732" s="22"/>
      <c r="H732" s="30" t="str">
        <f>CONCATENATE(H731," - ","VÃO")</f>
        <v>LABORATÓRIO INFORMÁTICA - VÃO</v>
      </c>
      <c r="I732" s="55"/>
      <c r="J732" s="56">
        <v>-1</v>
      </c>
      <c r="K732" s="57"/>
      <c r="L732" s="57"/>
      <c r="M732" s="57"/>
      <c r="N732" s="38">
        <f>(0.9*2.1+3.81*0.46+3.81*1.26)*2</f>
        <v>16.886400000000002</v>
      </c>
      <c r="O732" s="58">
        <f t="shared" si="35"/>
        <v>-16.89</v>
      </c>
      <c r="P732" s="185"/>
      <c r="Q732" s="185"/>
    </row>
    <row r="733" spans="5:17" hidden="1" outlineLevel="1">
      <c r="E733" s="20"/>
      <c r="F733" s="21"/>
      <c r="G733" s="22"/>
      <c r="H733" s="105" t="s">
        <v>2887</v>
      </c>
      <c r="I733" s="55"/>
      <c r="J733" s="56"/>
      <c r="K733" s="57">
        <f>2*(2.35+6.85)</f>
        <v>18.399999999999999</v>
      </c>
      <c r="L733" s="57"/>
      <c r="M733" s="57">
        <v>3.55</v>
      </c>
      <c r="N733" s="38"/>
      <c r="O733" s="58">
        <f t="shared" si="35"/>
        <v>65.319999999999993</v>
      </c>
      <c r="P733" s="185"/>
      <c r="Q733" s="185"/>
    </row>
    <row r="734" spans="5:17" hidden="1" outlineLevel="1">
      <c r="E734" s="20"/>
      <c r="F734" s="21"/>
      <c r="G734" s="22"/>
      <c r="H734" s="30" t="str">
        <f>CONCATENATE(H733," - ","VÃO")</f>
        <v>ALMOXARIFADO INFORMÁTICA - VÃO</v>
      </c>
      <c r="I734" s="55"/>
      <c r="J734" s="56">
        <v>-1</v>
      </c>
      <c r="K734" s="57"/>
      <c r="L734" s="57"/>
      <c r="M734" s="57"/>
      <c r="N734" s="38">
        <f>0.66*1.92+0.46*1.92+0.9*2.1</f>
        <v>4.0404</v>
      </c>
      <c r="O734" s="58">
        <f t="shared" si="35"/>
        <v>-4.04</v>
      </c>
      <c r="P734" s="185"/>
      <c r="Q734" s="185"/>
    </row>
    <row r="735" spans="5:17" hidden="1" outlineLevel="1">
      <c r="E735" s="20"/>
      <c r="F735" s="21"/>
      <c r="G735" s="22"/>
      <c r="H735" s="105" t="s">
        <v>2888</v>
      </c>
      <c r="I735" s="55"/>
      <c r="J735" s="56"/>
      <c r="K735" s="57">
        <f>13.94+6.59</f>
        <v>20.53</v>
      </c>
      <c r="L735" s="57"/>
      <c r="M735" s="57">
        <v>3.55</v>
      </c>
      <c r="N735" s="38"/>
      <c r="O735" s="58">
        <f t="shared" si="35"/>
        <v>72.88</v>
      </c>
      <c r="P735" s="185"/>
      <c r="Q735" s="185"/>
    </row>
    <row r="736" spans="5:17" hidden="1" outlineLevel="1">
      <c r="E736" s="20"/>
      <c r="F736" s="21"/>
      <c r="G736" s="22"/>
      <c r="H736" s="30" t="str">
        <f>CONCATENATE(H735," - ","VÃO")</f>
        <v>ESCADAS 1 - VÃO</v>
      </c>
      <c r="I736" s="55"/>
      <c r="J736" s="56">
        <v>-1</v>
      </c>
      <c r="K736" s="57"/>
      <c r="L736" s="57"/>
      <c r="M736" s="57"/>
      <c r="N736" s="38">
        <f>1.5*0.9+2.1*0.6</f>
        <v>2.6100000000000003</v>
      </c>
      <c r="O736" s="58">
        <f t="shared" si="35"/>
        <v>-2.61</v>
      </c>
      <c r="P736" s="185"/>
      <c r="Q736" s="185"/>
    </row>
    <row r="737" spans="5:17" hidden="1" outlineLevel="1">
      <c r="E737" s="20"/>
      <c r="F737" s="21"/>
      <c r="G737" s="22"/>
      <c r="H737" s="105" t="s">
        <v>2889</v>
      </c>
      <c r="I737" s="55"/>
      <c r="J737" s="56"/>
      <c r="K737" s="57">
        <v>9.89</v>
      </c>
      <c r="L737" s="57"/>
      <c r="M737" s="57">
        <v>3.55</v>
      </c>
      <c r="N737" s="38"/>
      <c r="O737" s="58">
        <f t="shared" si="35"/>
        <v>35.11</v>
      </c>
      <c r="P737" s="185"/>
      <c r="Q737" s="185"/>
    </row>
    <row r="738" spans="5:17" hidden="1" outlineLevel="1">
      <c r="E738" s="20"/>
      <c r="F738" s="21"/>
      <c r="G738" s="22"/>
      <c r="H738" s="30" t="str">
        <f>CONCATENATE(H737," - ","VÃO")</f>
        <v>DEPÓSITO/DML 1 - VÃO</v>
      </c>
      <c r="I738" s="55"/>
      <c r="J738" s="56">
        <v>-1</v>
      </c>
      <c r="K738" s="57"/>
      <c r="L738" s="57"/>
      <c r="M738" s="57"/>
      <c r="N738" s="110">
        <f>0.9*2.1+1.5*0.9</f>
        <v>3.24</v>
      </c>
      <c r="O738" s="58">
        <f t="shared" si="35"/>
        <v>-3.24</v>
      </c>
      <c r="P738" s="185"/>
      <c r="Q738" s="185"/>
    </row>
    <row r="739" spans="5:17" hidden="1" outlineLevel="1">
      <c r="E739" s="20"/>
      <c r="F739" s="21"/>
      <c r="G739" s="22"/>
      <c r="H739" s="105" t="s">
        <v>2890</v>
      </c>
      <c r="I739" s="55"/>
      <c r="J739" s="56"/>
      <c r="K739" s="57">
        <f>K735</f>
        <v>20.53</v>
      </c>
      <c r="L739" s="57"/>
      <c r="M739" s="57">
        <v>3.55</v>
      </c>
      <c r="N739" s="38"/>
      <c r="O739" s="58">
        <f t="shared" si="35"/>
        <v>72.88</v>
      </c>
      <c r="P739" s="185"/>
      <c r="Q739" s="185"/>
    </row>
    <row r="740" spans="5:17" hidden="1" outlineLevel="1">
      <c r="E740" s="20"/>
      <c r="F740" s="21"/>
      <c r="G740" s="22"/>
      <c r="H740" s="30" t="str">
        <f>CONCATENATE(H739," - ","VÃO")</f>
        <v>ESCADAS 2 - VÃO</v>
      </c>
      <c r="I740" s="55"/>
      <c r="J740" s="56">
        <v>-1</v>
      </c>
      <c r="K740" s="57"/>
      <c r="L740" s="57"/>
      <c r="M740" s="57"/>
      <c r="N740" s="38">
        <f>3.3*3</f>
        <v>9.8999999999999986</v>
      </c>
      <c r="O740" s="58">
        <f t="shared" si="35"/>
        <v>-9.9</v>
      </c>
      <c r="P740" s="185"/>
      <c r="Q740" s="185"/>
    </row>
    <row r="741" spans="5:17" hidden="1" outlineLevel="1">
      <c r="E741" s="20"/>
      <c r="F741" s="21"/>
      <c r="G741" s="22"/>
      <c r="H741" s="105" t="s">
        <v>3071</v>
      </c>
      <c r="I741" s="55"/>
      <c r="J741" s="56"/>
      <c r="K741" s="57">
        <v>13.36</v>
      </c>
      <c r="L741" s="57"/>
      <c r="M741" s="57">
        <v>3.55</v>
      </c>
      <c r="N741" s="38"/>
      <c r="O741" s="58">
        <f t="shared" si="35"/>
        <v>47.43</v>
      </c>
      <c r="P741" s="185"/>
      <c r="Q741" s="185"/>
    </row>
    <row r="742" spans="5:17" hidden="1" outlineLevel="1">
      <c r="E742" s="20"/>
      <c r="F742" s="21"/>
      <c r="G742" s="22"/>
      <c r="H742" s="30" t="str">
        <f>CONCATENATE(H741," - ","VÃO")</f>
        <v>PLATAFORMA - VÃO</v>
      </c>
      <c r="I742" s="55"/>
      <c r="J742" s="56">
        <v>-1</v>
      </c>
      <c r="K742" s="57"/>
      <c r="L742" s="57"/>
      <c r="M742" s="57"/>
      <c r="N742" s="110">
        <f>(1.8*2.7)*2+1.5*0.9</f>
        <v>11.07</v>
      </c>
      <c r="O742" s="58">
        <f t="shared" si="35"/>
        <v>-11.07</v>
      </c>
      <c r="P742" s="185"/>
      <c r="Q742" s="185"/>
    </row>
    <row r="743" spans="5:17" hidden="1" outlineLevel="1">
      <c r="E743" s="20"/>
      <c r="F743" s="21"/>
      <c r="G743" s="22"/>
      <c r="H743" s="106" t="s">
        <v>2892</v>
      </c>
      <c r="I743" s="55"/>
      <c r="J743" s="56"/>
      <c r="K743" s="57">
        <v>9.89</v>
      </c>
      <c r="L743" s="57"/>
      <c r="M743" s="57">
        <v>3.55</v>
      </c>
      <c r="N743" s="38"/>
      <c r="O743" s="104">
        <f t="shared" si="35"/>
        <v>35.11</v>
      </c>
      <c r="P743" s="185"/>
      <c r="Q743" s="185"/>
    </row>
    <row r="744" spans="5:17" hidden="1" outlineLevel="1">
      <c r="E744" s="20"/>
      <c r="F744" s="21"/>
      <c r="G744" s="22"/>
      <c r="H744" s="30" t="str">
        <f>CONCATENATE(H743," - ","VÃO")</f>
        <v>DEPÓSITO/DML 2 - VÃO</v>
      </c>
      <c r="I744" s="55"/>
      <c r="J744" s="56">
        <v>-1</v>
      </c>
      <c r="K744" s="57"/>
      <c r="L744" s="57"/>
      <c r="M744" s="57"/>
      <c r="N744" s="38">
        <f>1.8*2.7+0.9*2.1</f>
        <v>6.75</v>
      </c>
      <c r="O744" s="104">
        <f t="shared" si="35"/>
        <v>-6.75</v>
      </c>
      <c r="P744" s="185"/>
      <c r="Q744" s="185"/>
    </row>
    <row r="745" spans="5:17" hidden="1" outlineLevel="1">
      <c r="E745" s="20"/>
      <c r="F745" s="21"/>
      <c r="G745" s="22"/>
      <c r="H745" s="105" t="s">
        <v>2893</v>
      </c>
      <c r="I745" s="55"/>
      <c r="J745" s="56"/>
      <c r="K745" s="57">
        <f>(4.95+1.6)*2</f>
        <v>13.100000000000001</v>
      </c>
      <c r="L745" s="57"/>
      <c r="M745" s="57">
        <v>3.55</v>
      </c>
      <c r="N745" s="38"/>
      <c r="O745" s="58">
        <f t="shared" si="35"/>
        <v>46.51</v>
      </c>
      <c r="P745" s="185"/>
      <c r="Q745" s="185"/>
    </row>
    <row r="746" spans="5:17" hidden="1" outlineLevel="1">
      <c r="E746" s="20"/>
      <c r="F746" s="21"/>
      <c r="G746" s="22"/>
      <c r="H746" s="30" t="str">
        <f>CONCATENATE(H745," - ","VÃO")</f>
        <v>ALMOXARIFADO - VÃO</v>
      </c>
      <c r="I746" s="55"/>
      <c r="J746" s="56">
        <v>-1</v>
      </c>
      <c r="K746" s="57"/>
      <c r="L746" s="57"/>
      <c r="M746" s="57"/>
      <c r="N746" s="110">
        <f>1.5*0.9+1.8*3+0.9*2.1</f>
        <v>8.64</v>
      </c>
      <c r="O746" s="58">
        <f t="shared" si="35"/>
        <v>-8.64</v>
      </c>
      <c r="P746" s="185"/>
      <c r="Q746" s="185"/>
    </row>
    <row r="747" spans="5:17" hidden="1" outlineLevel="1">
      <c r="E747" s="20"/>
      <c r="F747" s="21"/>
      <c r="G747" s="22"/>
      <c r="H747" s="105" t="s">
        <v>2894</v>
      </c>
      <c r="I747" s="55"/>
      <c r="J747" s="56"/>
      <c r="K747" s="57">
        <f>2*(6.85+8.85)</f>
        <v>31.4</v>
      </c>
      <c r="L747" s="57"/>
      <c r="M747" s="57">
        <v>3.55</v>
      </c>
      <c r="N747" s="38"/>
      <c r="O747" s="58">
        <f t="shared" si="35"/>
        <v>111.47</v>
      </c>
      <c r="P747" s="185"/>
      <c r="Q747" s="185"/>
    </row>
    <row r="748" spans="5:17" hidden="1" outlineLevel="1">
      <c r="E748" s="20"/>
      <c r="F748" s="21"/>
      <c r="G748" s="22"/>
      <c r="H748" s="30" t="str">
        <f>CONCATENATE(H747," - ","VÃO")</f>
        <v>LABORATÓRIO QUÍMICA - VÃO</v>
      </c>
      <c r="I748" s="55"/>
      <c r="J748" s="56">
        <v>-1</v>
      </c>
      <c r="K748" s="57"/>
      <c r="L748" s="57"/>
      <c r="M748" s="57"/>
      <c r="N748" s="111">
        <f>2*(3.81*1.26+3.81*0.46+0.9*2.1)</f>
        <v>16.886400000000002</v>
      </c>
      <c r="O748" s="58">
        <f t="shared" si="35"/>
        <v>-16.89</v>
      </c>
      <c r="P748" s="185"/>
      <c r="Q748" s="185"/>
    </row>
    <row r="749" spans="5:17" hidden="1" outlineLevel="1">
      <c r="E749" s="20"/>
      <c r="F749" s="21"/>
      <c r="G749" s="22"/>
      <c r="H749" s="105" t="s">
        <v>2895</v>
      </c>
      <c r="I749" s="55"/>
      <c r="J749" s="56"/>
      <c r="K749" s="57">
        <f>2*(4.35+2.68)</f>
        <v>14.059999999999999</v>
      </c>
      <c r="L749" s="57"/>
      <c r="M749" s="57">
        <v>3.55</v>
      </c>
      <c r="N749" s="38"/>
      <c r="O749" s="58">
        <f t="shared" si="35"/>
        <v>49.91</v>
      </c>
      <c r="P749" s="185"/>
      <c r="Q749" s="185"/>
    </row>
    <row r="750" spans="5:17" hidden="1" outlineLevel="1">
      <c r="E750" s="20"/>
      <c r="F750" s="21"/>
      <c r="G750" s="22"/>
      <c r="H750" s="30" t="str">
        <f>CONCATENATE(H749," - ","VÃO")</f>
        <v>SALA TÉCNICA - VÃO</v>
      </c>
      <c r="I750" s="55"/>
      <c r="J750" s="56">
        <v>-1</v>
      </c>
      <c r="K750" s="57"/>
      <c r="L750" s="57"/>
      <c r="M750" s="57"/>
      <c r="N750" s="38">
        <f>0.9*2.1+3.81*0.46</f>
        <v>3.6426000000000003</v>
      </c>
      <c r="O750" s="58">
        <f t="shared" si="35"/>
        <v>-3.64</v>
      </c>
      <c r="P750" s="185"/>
      <c r="Q750" s="185"/>
    </row>
    <row r="751" spans="5:17" hidden="1" outlineLevel="1">
      <c r="E751" s="20"/>
      <c r="F751" s="21"/>
      <c r="G751" s="22"/>
      <c r="H751" s="105" t="s">
        <v>2896</v>
      </c>
      <c r="I751" s="55"/>
      <c r="J751" s="56"/>
      <c r="K751" s="57">
        <f>(4.35+4.02)*2</f>
        <v>16.739999999999998</v>
      </c>
      <c r="L751" s="57"/>
      <c r="M751" s="57">
        <v>3.55</v>
      </c>
      <c r="N751" s="38"/>
      <c r="O751" s="58">
        <f t="shared" si="35"/>
        <v>59.43</v>
      </c>
      <c r="P751" s="185"/>
      <c r="Q751" s="185"/>
    </row>
    <row r="752" spans="5:17" hidden="1" outlineLevel="1">
      <c r="E752" s="20"/>
      <c r="F752" s="21"/>
      <c r="G752" s="22"/>
      <c r="H752" s="30" t="str">
        <f>CONCATENATE(H751," - ","VÃO")</f>
        <v>ALMOX. LABORATÓRIOS QUIM/BIO - VÃO</v>
      </c>
      <c r="I752" s="55"/>
      <c r="J752" s="56">
        <v>-1</v>
      </c>
      <c r="K752" s="57"/>
      <c r="L752" s="57"/>
      <c r="M752" s="57"/>
      <c r="N752" s="111">
        <f>2*0.9*2.1+3.81*0.46</f>
        <v>5.5326000000000004</v>
      </c>
      <c r="O752" s="58">
        <f t="shared" si="35"/>
        <v>-5.53</v>
      </c>
      <c r="P752" s="185"/>
      <c r="Q752" s="185"/>
    </row>
    <row r="753" spans="5:17" hidden="1" outlineLevel="1">
      <c r="E753" s="20"/>
      <c r="F753" s="21"/>
      <c r="G753" s="22"/>
      <c r="H753" s="105" t="s">
        <v>2897</v>
      </c>
      <c r="I753" s="55"/>
      <c r="J753" s="56"/>
      <c r="K753" s="57">
        <f>K747</f>
        <v>31.4</v>
      </c>
      <c r="L753" s="57"/>
      <c r="M753" s="57">
        <v>3.55</v>
      </c>
      <c r="N753" s="38"/>
      <c r="O753" s="58">
        <f t="shared" si="35"/>
        <v>111.47</v>
      </c>
      <c r="P753" s="185"/>
      <c r="Q753" s="185"/>
    </row>
    <row r="754" spans="5:17" hidden="1" outlineLevel="1">
      <c r="E754" s="20"/>
      <c r="F754" s="21"/>
      <c r="G754" s="22"/>
      <c r="H754" s="30" t="str">
        <f>CONCATENATE(H753," - ","VÃO")</f>
        <v>LABORATÓRIO BIOLOGIA - VÃO</v>
      </c>
      <c r="I754" s="55"/>
      <c r="J754" s="56">
        <v>-1</v>
      </c>
      <c r="K754" s="57"/>
      <c r="L754" s="57"/>
      <c r="M754" s="57"/>
      <c r="N754" s="111">
        <f>2*3.81*1.26+2*3.81*0.46+0.9*2.1*2</f>
        <v>16.886400000000002</v>
      </c>
      <c r="O754" s="58">
        <f t="shared" si="35"/>
        <v>-16.89</v>
      </c>
      <c r="P754" s="185"/>
      <c r="Q754" s="185"/>
    </row>
    <row r="755" spans="5:17" hidden="1" outlineLevel="1">
      <c r="E755" s="20"/>
      <c r="F755" s="21"/>
      <c r="G755" s="22"/>
      <c r="H755" s="105" t="s">
        <v>2898</v>
      </c>
      <c r="I755" s="55"/>
      <c r="J755" s="56"/>
      <c r="K755" s="57">
        <f>K753</f>
        <v>31.4</v>
      </c>
      <c r="L755" s="57"/>
      <c r="M755" s="57">
        <v>3.55</v>
      </c>
      <c r="N755" s="38"/>
      <c r="O755" s="58">
        <f t="shared" si="35"/>
        <v>111.47</v>
      </c>
      <c r="P755" s="185"/>
      <c r="Q755" s="185"/>
    </row>
    <row r="756" spans="5:17" hidden="1" outlineLevel="1">
      <c r="E756" s="20"/>
      <c r="F756" s="21"/>
      <c r="G756" s="22"/>
      <c r="H756" s="30" t="str">
        <f>CONCATENATE(H755," - ","VÃO")</f>
        <v>LABORATÓRIO FÍSICA - VÃO</v>
      </c>
      <c r="I756" s="55"/>
      <c r="J756" s="56">
        <v>-1</v>
      </c>
      <c r="K756" s="57"/>
      <c r="L756" s="57"/>
      <c r="M756" s="57"/>
      <c r="N756" s="111">
        <f>2*3.81*1.26+2*3.81*0.46+0.9*2.1*2</f>
        <v>16.886400000000002</v>
      </c>
      <c r="O756" s="58">
        <f t="shared" si="35"/>
        <v>-16.89</v>
      </c>
      <c r="P756" s="185"/>
      <c r="Q756" s="185"/>
    </row>
    <row r="757" spans="5:17" ht="15" hidden="1" customHeight="1" outlineLevel="1">
      <c r="E757" s="20"/>
      <c r="F757" s="21"/>
      <c r="G757" s="22"/>
      <c r="H757" s="105" t="s">
        <v>2899</v>
      </c>
      <c r="I757" s="55"/>
      <c r="J757" s="56"/>
      <c r="K757" s="57">
        <f>K749</f>
        <v>14.059999999999999</v>
      </c>
      <c r="L757" s="57"/>
      <c r="M757" s="57">
        <v>3.55</v>
      </c>
      <c r="N757" s="38"/>
      <c r="O757" s="58">
        <f t="shared" si="35"/>
        <v>49.91</v>
      </c>
      <c r="P757" s="185"/>
      <c r="Q757" s="185"/>
    </row>
    <row r="758" spans="5:17" hidden="1" outlineLevel="1">
      <c r="E758" s="20"/>
      <c r="F758" s="21"/>
      <c r="G758" s="22"/>
      <c r="H758" s="30" t="str">
        <f>CONCATENATE(H757," - ","VÃO")</f>
        <v>DEPARTAMENTO MAT.MULTIMÍDIA - VÃO</v>
      </c>
      <c r="I758" s="55"/>
      <c r="J758" s="56">
        <v>-1</v>
      </c>
      <c r="K758" s="57"/>
      <c r="L758" s="57"/>
      <c r="M758" s="57"/>
      <c r="N758" s="38">
        <f>0.9*2.1+3.81*0.46</f>
        <v>3.6426000000000003</v>
      </c>
      <c r="O758" s="58">
        <f t="shared" si="35"/>
        <v>-3.64</v>
      </c>
      <c r="P758" s="185"/>
      <c r="Q758" s="185"/>
    </row>
    <row r="759" spans="5:17" hidden="1" outlineLevel="1">
      <c r="E759" s="20"/>
      <c r="F759" s="21"/>
      <c r="G759" s="22"/>
      <c r="H759" s="105" t="s">
        <v>2900</v>
      </c>
      <c r="I759" s="55"/>
      <c r="J759" s="56"/>
      <c r="K759" s="57">
        <f>K751</f>
        <v>16.739999999999998</v>
      </c>
      <c r="L759" s="57"/>
      <c r="M759" s="57">
        <v>3.55</v>
      </c>
      <c r="N759" s="38"/>
      <c r="O759" s="58">
        <f t="shared" si="35"/>
        <v>59.43</v>
      </c>
      <c r="P759" s="185"/>
      <c r="Q759" s="185"/>
    </row>
    <row r="760" spans="5:17" hidden="1" outlineLevel="1">
      <c r="E760" s="20"/>
      <c r="F760" s="21"/>
      <c r="G760" s="22"/>
      <c r="H760" s="30" t="str">
        <f>CONCATENATE(H759," - ","VÃO")</f>
        <v>ALMOXARIFADO LABORATÓRIOS FÍS/MAT - VÃO</v>
      </c>
      <c r="I760" s="55"/>
      <c r="J760" s="56">
        <v>-1</v>
      </c>
      <c r="K760" s="57"/>
      <c r="L760" s="57"/>
      <c r="M760" s="57"/>
      <c r="N760" s="62">
        <f>0.9*2.1+3.81*0.46</f>
        <v>3.6426000000000003</v>
      </c>
      <c r="O760" s="58">
        <f t="shared" si="35"/>
        <v>-3.64</v>
      </c>
      <c r="P760" s="185"/>
      <c r="Q760" s="185"/>
    </row>
    <row r="761" spans="5:17" hidden="1" outlineLevel="1">
      <c r="E761" s="20"/>
      <c r="F761" s="21"/>
      <c r="G761" s="22"/>
      <c r="H761" s="30" t="s">
        <v>2901</v>
      </c>
      <c r="I761" s="55"/>
      <c r="J761" s="56"/>
      <c r="K761" s="57">
        <f>K753</f>
        <v>31.4</v>
      </c>
      <c r="L761" s="57"/>
      <c r="M761" s="57">
        <v>3.55</v>
      </c>
      <c r="N761" s="38"/>
      <c r="O761" s="58">
        <f>ROUND(PRODUCT(J761:N761),2)</f>
        <v>111.47</v>
      </c>
      <c r="P761" s="185"/>
      <c r="Q761" s="185"/>
    </row>
    <row r="762" spans="5:17" hidden="1" outlineLevel="1">
      <c r="E762" s="20"/>
      <c r="F762" s="21"/>
      <c r="G762" s="22"/>
      <c r="H762" s="30" t="str">
        <f>CONCATENATE(H761," - ","VÃO")</f>
        <v>LABORATÓRIO MATEMÁTICA - VÃO</v>
      </c>
      <c r="I762" s="55"/>
      <c r="J762" s="56">
        <v>-1</v>
      </c>
      <c r="K762" s="57"/>
      <c r="L762" s="57"/>
      <c r="M762" s="57"/>
      <c r="N762" s="62">
        <f>N756</f>
        <v>16.886400000000002</v>
      </c>
      <c r="O762" s="58">
        <f>ROUND(PRODUCT(J762:N762),2)</f>
        <v>-16.89</v>
      </c>
      <c r="P762" s="185"/>
      <c r="Q762" s="185"/>
    </row>
    <row r="763" spans="5:17" hidden="1" outlineLevel="1">
      <c r="E763" s="20"/>
      <c r="F763" s="21"/>
      <c r="G763" s="22"/>
      <c r="H763" s="30" t="s">
        <v>2902</v>
      </c>
      <c r="I763" s="55"/>
      <c r="J763" s="56"/>
      <c r="K763" s="57">
        <v>7.1</v>
      </c>
      <c r="L763" s="57"/>
      <c r="M763" s="57">
        <v>3.55</v>
      </c>
      <c r="N763" s="38"/>
      <c r="O763" s="58">
        <f t="shared" si="35"/>
        <v>25.21</v>
      </c>
      <c r="P763" s="185"/>
      <c r="Q763" s="185"/>
    </row>
    <row r="764" spans="5:17" hidden="1" outlineLevel="1">
      <c r="E764" s="20"/>
      <c r="F764" s="21"/>
      <c r="G764" s="22"/>
      <c r="H764" s="30" t="str">
        <f>CONCATENATE(H763," - ","VÃO")</f>
        <v>WC PCD FEM. - VÃO</v>
      </c>
      <c r="I764" s="55"/>
      <c r="J764" s="56">
        <v>-1</v>
      </c>
      <c r="K764" s="57"/>
      <c r="L764" s="57"/>
      <c r="M764" s="57"/>
      <c r="N764" s="111">
        <f>0.9*2.1+1.29*0.46</f>
        <v>2.4834000000000001</v>
      </c>
      <c r="O764" s="58">
        <f t="shared" si="35"/>
        <v>-2.48</v>
      </c>
      <c r="P764" s="185"/>
      <c r="Q764" s="185"/>
    </row>
    <row r="765" spans="5:17" hidden="1" outlineLevel="1">
      <c r="E765" s="20"/>
      <c r="F765" s="21"/>
      <c r="G765" s="22"/>
      <c r="H765" s="30" t="s">
        <v>2903</v>
      </c>
      <c r="I765" s="55"/>
      <c r="J765" s="56"/>
      <c r="K765" s="57">
        <v>7.1</v>
      </c>
      <c r="L765" s="57"/>
      <c r="M765" s="57">
        <v>3.55</v>
      </c>
      <c r="N765" s="38"/>
      <c r="O765" s="58">
        <f t="shared" si="35"/>
        <v>25.21</v>
      </c>
      <c r="P765" s="185"/>
      <c r="Q765" s="185"/>
    </row>
    <row r="766" spans="5:17" hidden="1" outlineLevel="1">
      <c r="E766" s="20"/>
      <c r="F766" s="21"/>
      <c r="G766" s="22"/>
      <c r="H766" s="30" t="str">
        <f>CONCATENATE(H765," - ","VÃO")</f>
        <v>WC PCD MASC. - VÃO</v>
      </c>
      <c r="I766" s="55"/>
      <c r="J766" s="56">
        <v>-1</v>
      </c>
      <c r="K766" s="57"/>
      <c r="L766" s="57"/>
      <c r="M766" s="57"/>
      <c r="N766" s="111">
        <f>0.9*2.1+1.29*0.46</f>
        <v>2.4834000000000001</v>
      </c>
      <c r="O766" s="58">
        <f t="shared" si="35"/>
        <v>-2.48</v>
      </c>
      <c r="P766" s="185"/>
      <c r="Q766" s="185"/>
    </row>
    <row r="767" spans="5:17" hidden="1" outlineLevel="1">
      <c r="E767" s="20"/>
      <c r="F767" s="21"/>
      <c r="G767" s="22"/>
      <c r="H767" s="30" t="s">
        <v>2904</v>
      </c>
      <c r="I767" s="55"/>
      <c r="J767" s="56"/>
      <c r="K767" s="57">
        <v>17.12</v>
      </c>
      <c r="L767" s="57"/>
      <c r="M767" s="57">
        <v>3.55</v>
      </c>
      <c r="N767" s="38"/>
      <c r="O767" s="58">
        <f t="shared" si="35"/>
        <v>60.78</v>
      </c>
      <c r="P767" s="185"/>
      <c r="Q767" s="185"/>
    </row>
    <row r="768" spans="5:17" hidden="1" outlineLevel="1">
      <c r="E768" s="20"/>
      <c r="F768" s="21"/>
      <c r="G768" s="22"/>
      <c r="H768" s="30" t="str">
        <f>CONCATENATE(H767," - ","VÃO")</f>
        <v>SANIT. FEM - VÃO</v>
      </c>
      <c r="I768" s="55"/>
      <c r="J768" s="56">
        <v>-1</v>
      </c>
      <c r="K768" s="57"/>
      <c r="L768" s="57"/>
      <c r="M768" s="57"/>
      <c r="N768" s="111">
        <f>0.9*2.1+3.15*0.66</f>
        <v>3.9690000000000003</v>
      </c>
      <c r="O768" s="58">
        <f t="shared" si="35"/>
        <v>-3.97</v>
      </c>
      <c r="P768" s="185"/>
      <c r="Q768" s="185"/>
    </row>
    <row r="769" spans="5:17" hidden="1" outlineLevel="1">
      <c r="E769" s="20"/>
      <c r="F769" s="21"/>
      <c r="G769" s="22"/>
      <c r="H769" s="30" t="s">
        <v>2905</v>
      </c>
      <c r="I769" s="55"/>
      <c r="J769" s="56"/>
      <c r="K769" s="57">
        <v>17.12</v>
      </c>
      <c r="L769" s="57"/>
      <c r="M769" s="57">
        <v>3.55</v>
      </c>
      <c r="N769" s="38"/>
      <c r="O769" s="58">
        <f t="shared" si="35"/>
        <v>60.78</v>
      </c>
      <c r="P769" s="185"/>
      <c r="Q769" s="185"/>
    </row>
    <row r="770" spans="5:17" hidden="1" outlineLevel="1">
      <c r="E770" s="20"/>
      <c r="F770" s="21"/>
      <c r="G770" s="22"/>
      <c r="H770" s="30" t="str">
        <f>CONCATENATE(H769," - ","VÃO")</f>
        <v>SANIT. MASC - VÃO</v>
      </c>
      <c r="I770" s="55"/>
      <c r="J770" s="56">
        <v>-1</v>
      </c>
      <c r="K770" s="57"/>
      <c r="L770" s="57"/>
      <c r="M770" s="57"/>
      <c r="N770" s="111">
        <f>0.9*2.1+3.15*0.66</f>
        <v>3.9690000000000003</v>
      </c>
      <c r="O770" s="58">
        <f t="shared" si="35"/>
        <v>-3.97</v>
      </c>
      <c r="P770" s="185"/>
      <c r="Q770" s="185"/>
    </row>
    <row r="771" spans="5:17" hidden="1" outlineLevel="1">
      <c r="E771" s="20"/>
      <c r="F771" s="21"/>
      <c r="G771" s="22"/>
      <c r="H771" s="24" t="s">
        <v>2910</v>
      </c>
      <c r="I771" s="24"/>
      <c r="J771" s="25"/>
      <c r="K771" s="10"/>
      <c r="L771" s="32"/>
      <c r="M771" s="10"/>
      <c r="N771" s="38"/>
      <c r="O771" s="31">
        <f t="shared" ref="O771:O805" si="36">ROUND(PRODUCT(J771:N771),2)</f>
        <v>0</v>
      </c>
      <c r="P771" s="185"/>
      <c r="Q771" s="185"/>
    </row>
    <row r="772" spans="5:17" hidden="1" outlineLevel="1">
      <c r="E772" s="20"/>
      <c r="F772" s="21"/>
      <c r="G772" s="22"/>
      <c r="H772" s="30" t="s">
        <v>2911</v>
      </c>
      <c r="I772" s="55"/>
      <c r="J772" s="56"/>
      <c r="K772" s="57">
        <f>2*(6.85+8.85)</f>
        <v>31.4</v>
      </c>
      <c r="L772" s="57"/>
      <c r="M772" s="57">
        <v>3.55</v>
      </c>
      <c r="N772" s="38"/>
      <c r="O772" s="58">
        <f t="shared" si="36"/>
        <v>111.47</v>
      </c>
      <c r="P772" s="185"/>
      <c r="Q772" s="185"/>
    </row>
    <row r="773" spans="5:17" hidden="1" outlineLevel="1">
      <c r="E773" s="20"/>
      <c r="F773" s="21"/>
      <c r="G773" s="22"/>
      <c r="H773" s="30" t="str">
        <f>CONCATENATE(H772," - ","VÃO")</f>
        <v>SALA 1 - VÃO</v>
      </c>
      <c r="I773" s="55"/>
      <c r="J773" s="56">
        <v>-1</v>
      </c>
      <c r="K773" s="57"/>
      <c r="L773" s="57"/>
      <c r="M773" s="57"/>
      <c r="N773" s="38">
        <f>(0.9*2.1)+2*(3.81*0.46)+2*(3.81*1.26)</f>
        <v>14.996400000000001</v>
      </c>
      <c r="O773" s="58">
        <f t="shared" si="36"/>
        <v>-15</v>
      </c>
      <c r="P773" s="185"/>
      <c r="Q773" s="185"/>
    </row>
    <row r="774" spans="5:17" hidden="1" outlineLevel="1">
      <c r="E774" s="20"/>
      <c r="F774" s="21"/>
      <c r="G774" s="22"/>
      <c r="H774" s="30" t="s">
        <v>2912</v>
      </c>
      <c r="I774" s="55"/>
      <c r="J774" s="56"/>
      <c r="K774" s="57">
        <f>2*(6.85+8.85)</f>
        <v>31.4</v>
      </c>
      <c r="L774" s="57"/>
      <c r="M774" s="57">
        <v>3.55</v>
      </c>
      <c r="N774" s="38"/>
      <c r="O774" s="58">
        <f t="shared" si="36"/>
        <v>111.47</v>
      </c>
      <c r="P774" s="185"/>
      <c r="Q774" s="185"/>
    </row>
    <row r="775" spans="5:17" hidden="1" outlineLevel="1">
      <c r="E775" s="20"/>
      <c r="F775" s="21"/>
      <c r="G775" s="22"/>
      <c r="H775" s="30" t="str">
        <f>CONCATENATE(H774," - ","VÃO")</f>
        <v>SALA 2 - VÃO</v>
      </c>
      <c r="I775" s="55"/>
      <c r="J775" s="56">
        <v>-1</v>
      </c>
      <c r="K775" s="57"/>
      <c r="L775" s="57"/>
      <c r="M775" s="57"/>
      <c r="N775" s="38">
        <f>(0.9*2.1)+2*(3.81*0.46)+2*(3.81*1.26)</f>
        <v>14.996400000000001</v>
      </c>
      <c r="O775" s="58">
        <f t="shared" si="36"/>
        <v>-15</v>
      </c>
      <c r="P775" s="185"/>
      <c r="Q775" s="185"/>
    </row>
    <row r="776" spans="5:17" hidden="1" outlineLevel="1">
      <c r="E776" s="20"/>
      <c r="F776" s="21"/>
      <c r="G776" s="22"/>
      <c r="H776" s="30" t="s">
        <v>2913</v>
      </c>
      <c r="I776" s="55"/>
      <c r="J776" s="56"/>
      <c r="K776" s="57">
        <f>2*(6.85+8.85)</f>
        <v>31.4</v>
      </c>
      <c r="L776" s="57"/>
      <c r="M776" s="57">
        <v>3.55</v>
      </c>
      <c r="N776" s="38"/>
      <c r="O776" s="58">
        <f t="shared" si="36"/>
        <v>111.47</v>
      </c>
      <c r="P776" s="185"/>
      <c r="Q776" s="84"/>
    </row>
    <row r="777" spans="5:17" hidden="1" outlineLevel="1">
      <c r="E777" s="20"/>
      <c r="F777" s="21"/>
      <c r="G777" s="22"/>
      <c r="H777" s="30" t="str">
        <f>CONCATENATE(H776," - ","VÃO")</f>
        <v>SALA 3 - VÃO</v>
      </c>
      <c r="I777" s="55"/>
      <c r="J777" s="56">
        <v>-1</v>
      </c>
      <c r="K777" s="57"/>
      <c r="L777" s="57"/>
      <c r="M777" s="57"/>
      <c r="N777" s="38">
        <f>(0.9*2.1)+2*(3.81*0.46)+2*(3.81*1.26)</f>
        <v>14.996400000000001</v>
      </c>
      <c r="O777" s="58">
        <f t="shared" si="36"/>
        <v>-15</v>
      </c>
      <c r="P777" s="185"/>
      <c r="Q777" s="185"/>
    </row>
    <row r="778" spans="5:17" hidden="1" outlineLevel="1">
      <c r="E778" s="20"/>
      <c r="F778" s="21"/>
      <c r="G778" s="22"/>
      <c r="H778" s="30" t="s">
        <v>2914</v>
      </c>
      <c r="I778" s="55"/>
      <c r="J778" s="56"/>
      <c r="K778" s="57">
        <f>2*(6.85+8.85)</f>
        <v>31.4</v>
      </c>
      <c r="L778" s="57"/>
      <c r="M778" s="57">
        <v>3.55</v>
      </c>
      <c r="N778" s="38"/>
      <c r="O778" s="58">
        <f t="shared" si="36"/>
        <v>111.47</v>
      </c>
      <c r="P778" s="185"/>
      <c r="Q778" s="185"/>
    </row>
    <row r="779" spans="5:17" hidden="1" outlineLevel="1">
      <c r="E779" s="20"/>
      <c r="F779" s="21"/>
      <c r="G779" s="22"/>
      <c r="H779" s="30" t="str">
        <f>CONCATENATE(H778," - ","VÃO")</f>
        <v>SALA 4 - VÃO</v>
      </c>
      <c r="I779" s="55"/>
      <c r="J779" s="56">
        <v>-1</v>
      </c>
      <c r="K779" s="57"/>
      <c r="L779" s="57"/>
      <c r="M779" s="57"/>
      <c r="N779" s="38">
        <f>(0.9*2.1)+2*(3.81*0.46)+2*(3.81*1.26)</f>
        <v>14.996400000000001</v>
      </c>
      <c r="O779" s="58">
        <f t="shared" si="36"/>
        <v>-15</v>
      </c>
      <c r="P779" s="185"/>
      <c r="Q779" s="185"/>
    </row>
    <row r="780" spans="5:17" hidden="1" outlineLevel="1">
      <c r="E780" s="20"/>
      <c r="F780" s="21"/>
      <c r="G780" s="22"/>
      <c r="H780" s="30" t="s">
        <v>2915</v>
      </c>
      <c r="I780" s="55"/>
      <c r="J780" s="56"/>
      <c r="K780" s="57">
        <f>2*(6.85+8.85)</f>
        <v>31.4</v>
      </c>
      <c r="L780" s="57"/>
      <c r="M780" s="57">
        <v>3.55</v>
      </c>
      <c r="N780" s="38"/>
      <c r="O780" s="58">
        <f t="shared" si="36"/>
        <v>111.47</v>
      </c>
      <c r="P780" s="185"/>
      <c r="Q780" s="185"/>
    </row>
    <row r="781" spans="5:17" hidden="1" outlineLevel="1">
      <c r="E781" s="20"/>
      <c r="F781" s="21"/>
      <c r="G781" s="22"/>
      <c r="H781" s="30" t="str">
        <f>CONCATENATE(H780," - ","VÃO")</f>
        <v>SALA 5 - VÃO</v>
      </c>
      <c r="I781" s="55"/>
      <c r="J781" s="56">
        <v>-1</v>
      </c>
      <c r="K781" s="57"/>
      <c r="L781" s="57"/>
      <c r="M781" s="57"/>
      <c r="N781" s="38">
        <f>(0.9*2.1)+2*(3.81*0.46)+2*(3.81*1.26)</f>
        <v>14.996400000000001</v>
      </c>
      <c r="O781" s="58">
        <f t="shared" si="36"/>
        <v>-15</v>
      </c>
      <c r="P781" s="185"/>
      <c r="Q781" s="185"/>
    </row>
    <row r="782" spans="5:17" hidden="1" outlineLevel="1">
      <c r="E782" s="20"/>
      <c r="F782" s="21"/>
      <c r="G782" s="22"/>
      <c r="H782" s="30" t="s">
        <v>2916</v>
      </c>
      <c r="I782" s="55"/>
      <c r="J782" s="56"/>
      <c r="K782" s="57">
        <f>2*(8.85+6.85)</f>
        <v>31.4</v>
      </c>
      <c r="L782" s="57"/>
      <c r="M782" s="57">
        <v>3.55</v>
      </c>
      <c r="N782" s="38"/>
      <c r="O782" s="58">
        <f t="shared" si="36"/>
        <v>111.47</v>
      </c>
      <c r="P782" s="185"/>
      <c r="Q782" s="185"/>
    </row>
    <row r="783" spans="5:17" hidden="1" outlineLevel="1">
      <c r="E783" s="20"/>
      <c r="F783" s="21"/>
      <c r="G783" s="22"/>
      <c r="H783" s="30" t="str">
        <f>CONCATENATE(H782," - ","VÃO")</f>
        <v>SALA 6 - VÃO</v>
      </c>
      <c r="I783" s="55"/>
      <c r="J783" s="56">
        <v>-1</v>
      </c>
      <c r="K783" s="57"/>
      <c r="L783" s="57"/>
      <c r="M783" s="57"/>
      <c r="N783" s="38">
        <f>(0.9*2.1)+3*(3.81*1.26)</f>
        <v>16.291800000000002</v>
      </c>
      <c r="O783" s="58">
        <f t="shared" si="36"/>
        <v>-16.29</v>
      </c>
      <c r="P783" s="185"/>
      <c r="Q783" s="185"/>
    </row>
    <row r="784" spans="5:17" hidden="1" outlineLevel="1">
      <c r="E784" s="20"/>
      <c r="F784" s="21"/>
      <c r="G784" s="22"/>
      <c r="H784" s="30" t="s">
        <v>2917</v>
      </c>
      <c r="I784" s="55"/>
      <c r="J784" s="56"/>
      <c r="K784" s="57">
        <f>K782</f>
        <v>31.4</v>
      </c>
      <c r="L784" s="57"/>
      <c r="M784" s="57">
        <v>3.55</v>
      </c>
      <c r="N784" s="38"/>
      <c r="O784" s="58">
        <f t="shared" si="36"/>
        <v>111.47</v>
      </c>
      <c r="P784" s="185"/>
      <c r="Q784" s="185"/>
    </row>
    <row r="785" spans="5:17" hidden="1" outlineLevel="1">
      <c r="E785" s="20"/>
      <c r="F785" s="21"/>
      <c r="G785" s="22"/>
      <c r="H785" s="30" t="str">
        <f>CONCATENATE(H784," - ","VÃO")</f>
        <v>SALA 7 - VÃO</v>
      </c>
      <c r="I785" s="55"/>
      <c r="J785" s="56">
        <v>-1</v>
      </c>
      <c r="K785" s="57"/>
      <c r="L785" s="57"/>
      <c r="M785" s="57"/>
      <c r="N785" s="38">
        <f>(0.9*2.1)+2*(3.81*1.26)+2*(3.81*1.26)</f>
        <v>21.092400000000001</v>
      </c>
      <c r="O785" s="58">
        <f t="shared" si="36"/>
        <v>-21.09</v>
      </c>
      <c r="P785" s="185"/>
      <c r="Q785" s="185"/>
    </row>
    <row r="786" spans="5:17" hidden="1" outlineLevel="1">
      <c r="E786" s="20"/>
      <c r="F786" s="21"/>
      <c r="G786" s="22"/>
      <c r="H786" s="30" t="s">
        <v>2918</v>
      </c>
      <c r="I786" s="55"/>
      <c r="J786" s="56"/>
      <c r="K786" s="57">
        <f>2*(6.85+8.85)</f>
        <v>31.4</v>
      </c>
      <c r="L786" s="57"/>
      <c r="M786" s="57">
        <v>3.55</v>
      </c>
      <c r="N786" s="38"/>
      <c r="O786" s="58">
        <f t="shared" si="36"/>
        <v>111.47</v>
      </c>
      <c r="P786" s="185"/>
      <c r="Q786" s="185"/>
    </row>
    <row r="787" spans="5:17" hidden="1" outlineLevel="1">
      <c r="E787" s="20"/>
      <c r="F787" s="21"/>
      <c r="G787" s="22"/>
      <c r="H787" s="30" t="str">
        <f>CONCATENATE(H786," - ","VÃO")</f>
        <v>SALA 8 - VÃO</v>
      </c>
      <c r="I787" s="55"/>
      <c r="J787" s="56">
        <v>-1</v>
      </c>
      <c r="K787" s="57"/>
      <c r="L787" s="57"/>
      <c r="M787" s="57"/>
      <c r="N787" s="38">
        <f>(0.9*2.1)+2*(3.81*0.46)+2*(3.81*1.26)</f>
        <v>14.996400000000001</v>
      </c>
      <c r="O787" s="58">
        <f t="shared" si="36"/>
        <v>-15</v>
      </c>
      <c r="P787" s="185"/>
      <c r="Q787" s="185"/>
    </row>
    <row r="788" spans="5:17" hidden="1" outlineLevel="1">
      <c r="E788" s="20"/>
      <c r="F788" s="21"/>
      <c r="G788" s="22"/>
      <c r="H788" s="30" t="s">
        <v>2919</v>
      </c>
      <c r="I788" s="55"/>
      <c r="J788" s="56"/>
      <c r="K788" s="57">
        <f>2*(6.85+8.85)</f>
        <v>31.4</v>
      </c>
      <c r="L788" s="57"/>
      <c r="M788" s="57">
        <v>3.55</v>
      </c>
      <c r="N788" s="38"/>
      <c r="O788" s="58">
        <f t="shared" si="36"/>
        <v>111.47</v>
      </c>
      <c r="P788" s="185"/>
      <c r="Q788" s="185"/>
    </row>
    <row r="789" spans="5:17" hidden="1" outlineLevel="1">
      <c r="E789" s="20"/>
      <c r="F789" s="21"/>
      <c r="G789" s="22"/>
      <c r="H789" s="30" t="str">
        <f>CONCATENATE(H788," - ","VÃO")</f>
        <v>SALA 9 - VÃO</v>
      </c>
      <c r="I789" s="55"/>
      <c r="J789" s="56">
        <v>-1</v>
      </c>
      <c r="K789" s="57"/>
      <c r="L789" s="57"/>
      <c r="M789" s="57"/>
      <c r="N789" s="38">
        <f>(0.9*2.1)+2*(3.81*0.46)+2*(3.81*1.26)</f>
        <v>14.996400000000001</v>
      </c>
      <c r="O789" s="58">
        <f t="shared" si="36"/>
        <v>-15</v>
      </c>
      <c r="P789" s="185"/>
      <c r="Q789" s="185"/>
    </row>
    <row r="790" spans="5:17" hidden="1" outlineLevel="1">
      <c r="E790" s="20"/>
      <c r="F790" s="21"/>
      <c r="G790" s="22"/>
      <c r="H790" s="30" t="s">
        <v>2920</v>
      </c>
      <c r="I790" s="55"/>
      <c r="J790" s="56"/>
      <c r="K790" s="57">
        <f>2*(6.85+8.85)</f>
        <v>31.4</v>
      </c>
      <c r="L790" s="57"/>
      <c r="M790" s="57">
        <v>3.55</v>
      </c>
      <c r="N790" s="38"/>
      <c r="O790" s="58">
        <f t="shared" si="36"/>
        <v>111.47</v>
      </c>
      <c r="P790" s="185"/>
      <c r="Q790" s="84"/>
    </row>
    <row r="791" spans="5:17" hidden="1" outlineLevel="1">
      <c r="E791" s="20"/>
      <c r="F791" s="21"/>
      <c r="G791" s="22"/>
      <c r="H791" s="30" t="str">
        <f>CONCATENATE(H790," - ","VÃO")</f>
        <v>SALA 10 - VÃO</v>
      </c>
      <c r="I791" s="55"/>
      <c r="J791" s="56">
        <v>-1</v>
      </c>
      <c r="K791" s="57"/>
      <c r="L791" s="57"/>
      <c r="M791" s="57"/>
      <c r="N791" s="38">
        <f>(0.9*2.1)+2*(3.81*0.46)+2*(3.81*1.26)</f>
        <v>14.996400000000001</v>
      </c>
      <c r="O791" s="58">
        <f t="shared" si="36"/>
        <v>-15</v>
      </c>
      <c r="P791" s="185"/>
      <c r="Q791" s="185"/>
    </row>
    <row r="792" spans="5:17" hidden="1" outlineLevel="1">
      <c r="E792" s="20"/>
      <c r="F792" s="21"/>
      <c r="G792" s="22"/>
      <c r="H792" s="30" t="s">
        <v>2921</v>
      </c>
      <c r="I792" s="55"/>
      <c r="J792" s="56"/>
      <c r="K792" s="57">
        <f>2*(6.85+8.85)</f>
        <v>31.4</v>
      </c>
      <c r="L792" s="57"/>
      <c r="M792" s="57">
        <v>3.55</v>
      </c>
      <c r="N792" s="38"/>
      <c r="O792" s="58">
        <f t="shared" si="36"/>
        <v>111.47</v>
      </c>
      <c r="P792" s="185"/>
      <c r="Q792" s="185"/>
    </row>
    <row r="793" spans="5:17" hidden="1" outlineLevel="1">
      <c r="E793" s="20"/>
      <c r="F793" s="21"/>
      <c r="G793" s="22"/>
      <c r="H793" s="30" t="str">
        <f>CONCATENATE(H792," - ","VÃO")</f>
        <v>SALA 11 - VÃO</v>
      </c>
      <c r="I793" s="55"/>
      <c r="J793" s="56">
        <v>-1</v>
      </c>
      <c r="K793" s="57"/>
      <c r="L793" s="57"/>
      <c r="M793" s="57"/>
      <c r="N793" s="38">
        <f>(0.9*2.1)+2*(3.81*0.46)+2*(3.81*1.26)</f>
        <v>14.996400000000001</v>
      </c>
      <c r="O793" s="58">
        <f t="shared" si="36"/>
        <v>-15</v>
      </c>
      <c r="P793" s="185"/>
      <c r="Q793" s="185"/>
    </row>
    <row r="794" spans="5:17" hidden="1" outlineLevel="1">
      <c r="E794" s="20"/>
      <c r="F794" s="21"/>
      <c r="G794" s="22"/>
      <c r="H794" s="30" t="s">
        <v>2922</v>
      </c>
      <c r="I794" s="55"/>
      <c r="J794" s="56"/>
      <c r="K794" s="57">
        <f>2*(6.85+8.85)</f>
        <v>31.4</v>
      </c>
      <c r="L794" s="57"/>
      <c r="M794" s="57">
        <v>3.55</v>
      </c>
      <c r="N794" s="38"/>
      <c r="O794" s="58">
        <f t="shared" si="36"/>
        <v>111.47</v>
      </c>
      <c r="P794" s="185"/>
      <c r="Q794" s="185"/>
    </row>
    <row r="795" spans="5:17" hidden="1" outlineLevel="1">
      <c r="E795" s="20"/>
      <c r="F795" s="21"/>
      <c r="G795" s="22"/>
      <c r="H795" s="30" t="str">
        <f>CONCATENATE(H794," - ","VÃO")</f>
        <v>SALA 12 - VÃO</v>
      </c>
      <c r="I795" s="55"/>
      <c r="J795" s="56">
        <v>-1</v>
      </c>
      <c r="K795" s="57"/>
      <c r="L795" s="57"/>
      <c r="M795" s="57"/>
      <c r="N795" s="38">
        <f>(0.9*2.1)+2*(3.81*0.46)+2*(3.81*1.26)</f>
        <v>14.996400000000001</v>
      </c>
      <c r="O795" s="58">
        <f t="shared" si="36"/>
        <v>-15</v>
      </c>
      <c r="P795" s="185"/>
      <c r="Q795" s="185"/>
    </row>
    <row r="796" spans="5:17" hidden="1" outlineLevel="1">
      <c r="E796" s="20"/>
      <c r="F796" s="21"/>
      <c r="G796" s="22"/>
      <c r="H796" s="30" t="s">
        <v>2923</v>
      </c>
      <c r="I796" s="55"/>
      <c r="J796" s="56"/>
      <c r="K796" s="57">
        <f>6.85+2.06+1.3+1.29+5.55+3.35</f>
        <v>20.400000000000002</v>
      </c>
      <c r="L796" s="57"/>
      <c r="M796" s="57">
        <v>3.55</v>
      </c>
      <c r="N796" s="38"/>
      <c r="O796" s="58">
        <f t="shared" si="36"/>
        <v>72.42</v>
      </c>
      <c r="P796" s="185"/>
      <c r="Q796" s="185"/>
    </row>
    <row r="797" spans="5:17" hidden="1" outlineLevel="1">
      <c r="E797" s="20"/>
      <c r="F797" s="21"/>
      <c r="G797" s="22"/>
      <c r="H797" s="30" t="str">
        <f>CONCATENATE(H796," - ","VÃO")</f>
        <v>SANIT. FEMININO - VÃO</v>
      </c>
      <c r="I797" s="55"/>
      <c r="J797" s="56">
        <v>-1</v>
      </c>
      <c r="K797" s="57"/>
      <c r="L797" s="57"/>
      <c r="M797" s="57"/>
      <c r="N797" s="38">
        <f>N768</f>
        <v>3.9690000000000003</v>
      </c>
      <c r="O797" s="58">
        <f t="shared" si="36"/>
        <v>-3.97</v>
      </c>
      <c r="P797" s="185"/>
      <c r="Q797" s="185"/>
    </row>
    <row r="798" spans="5:17" hidden="1" outlineLevel="1">
      <c r="E798" s="20"/>
      <c r="F798" s="21"/>
      <c r="G798" s="22"/>
      <c r="H798" s="30" t="s">
        <v>2924</v>
      </c>
      <c r="I798" s="55"/>
      <c r="J798" s="56"/>
      <c r="K798" s="57">
        <f>5.55+3.35+6.85+2.06+1.3+1.29</f>
        <v>20.399999999999999</v>
      </c>
      <c r="L798" s="57"/>
      <c r="M798" s="57">
        <v>3.55</v>
      </c>
      <c r="N798" s="38"/>
      <c r="O798" s="58">
        <f t="shared" si="36"/>
        <v>72.42</v>
      </c>
      <c r="P798" s="185"/>
      <c r="Q798" s="185"/>
    </row>
    <row r="799" spans="5:17" hidden="1" outlineLevel="1">
      <c r="E799" s="20"/>
      <c r="F799" s="21"/>
      <c r="G799" s="22"/>
      <c r="H799" s="30" t="str">
        <f>CONCATENATE(H798," - ","VÃO")</f>
        <v>SANIT. MASCULINO - VÃO</v>
      </c>
      <c r="I799" s="55"/>
      <c r="J799" s="56">
        <v>-1</v>
      </c>
      <c r="K799" s="57"/>
      <c r="L799" s="57"/>
      <c r="M799" s="57"/>
      <c r="N799" s="38">
        <f>(3.15*0.66)+(0.9*2.1)</f>
        <v>3.9690000000000003</v>
      </c>
      <c r="O799" s="58">
        <f t="shared" si="36"/>
        <v>-3.97</v>
      </c>
      <c r="P799" s="185"/>
      <c r="Q799" s="185"/>
    </row>
    <row r="800" spans="5:17" hidden="1" outlineLevel="1">
      <c r="E800" s="20"/>
      <c r="F800" s="21"/>
      <c r="G800" s="22"/>
      <c r="H800" s="30" t="s">
        <v>2925</v>
      </c>
      <c r="I800" s="55"/>
      <c r="J800" s="56"/>
      <c r="K800" s="57">
        <f>2*(1.85+2.06)</f>
        <v>7.82</v>
      </c>
      <c r="L800" s="57"/>
      <c r="M800" s="57">
        <v>3.55</v>
      </c>
      <c r="N800" s="38"/>
      <c r="O800" s="58">
        <f t="shared" si="36"/>
        <v>27.76</v>
      </c>
      <c r="P800" s="185"/>
      <c r="Q800" s="185"/>
    </row>
    <row r="801" spans="1:17" hidden="1" outlineLevel="1">
      <c r="E801" s="20"/>
      <c r="F801" s="21"/>
      <c r="G801" s="22"/>
      <c r="H801" s="30" t="str">
        <f>CONCATENATE(H800," - ","VÃO")</f>
        <v>WC PCD MASC - VÃO</v>
      </c>
      <c r="I801" s="55"/>
      <c r="J801" s="56">
        <v>-1</v>
      </c>
      <c r="K801" s="57"/>
      <c r="L801" s="57"/>
      <c r="M801" s="57"/>
      <c r="N801" s="38">
        <f>(1.29*0.46)+(0.9*2.1)</f>
        <v>2.4834000000000001</v>
      </c>
      <c r="O801" s="58">
        <f t="shared" si="36"/>
        <v>-2.48</v>
      </c>
      <c r="P801" s="185"/>
      <c r="Q801" s="185"/>
    </row>
    <row r="802" spans="1:17" hidden="1" outlineLevel="1">
      <c r="E802" s="20"/>
      <c r="F802" s="21"/>
      <c r="G802" s="22"/>
      <c r="H802" s="30" t="s">
        <v>2878</v>
      </c>
      <c r="I802" s="55"/>
      <c r="J802" s="56"/>
      <c r="K802" s="57">
        <f>7.9+6.8</f>
        <v>14.7</v>
      </c>
      <c r="L802" s="57"/>
      <c r="M802" s="57">
        <v>3.55</v>
      </c>
      <c r="N802" s="38"/>
      <c r="O802" s="58">
        <f t="shared" si="36"/>
        <v>52.19</v>
      </c>
      <c r="P802" s="185"/>
      <c r="Q802" s="185"/>
    </row>
    <row r="803" spans="1:17" hidden="1" outlineLevel="1">
      <c r="E803" s="20"/>
      <c r="F803" s="21"/>
      <c r="G803" s="22"/>
      <c r="H803" s="30" t="str">
        <f>CONCATENATE(H802," - ","VÃO")</f>
        <v>WC PCD FEM - VÃO</v>
      </c>
      <c r="I803" s="55"/>
      <c r="J803" s="56">
        <v>-1</v>
      </c>
      <c r="K803" s="57"/>
      <c r="L803" s="57"/>
      <c r="M803" s="57"/>
      <c r="N803" s="38">
        <f>0.9*2.1+1.5*0.9+1.8*2.7</f>
        <v>8.1000000000000014</v>
      </c>
      <c r="O803" s="58">
        <f t="shared" si="36"/>
        <v>-8.1</v>
      </c>
      <c r="P803" s="185"/>
      <c r="Q803" s="185"/>
    </row>
    <row r="804" spans="1:17" hidden="1" outlineLevel="1">
      <c r="E804" s="20"/>
      <c r="F804" s="21"/>
      <c r="G804" s="22"/>
      <c r="H804" s="30" t="s">
        <v>3071</v>
      </c>
      <c r="I804" s="55"/>
      <c r="J804" s="56"/>
      <c r="K804" s="57">
        <v>13.34</v>
      </c>
      <c r="L804" s="57"/>
      <c r="M804" s="57">
        <v>3.55</v>
      </c>
      <c r="N804" s="38"/>
      <c r="O804" s="58">
        <f t="shared" si="36"/>
        <v>47.36</v>
      </c>
      <c r="P804" s="185"/>
      <c r="Q804" s="185"/>
    </row>
    <row r="805" spans="1:17" hidden="1" outlineLevel="1">
      <c r="E805" s="20"/>
      <c r="F805" s="21"/>
      <c r="G805" s="22"/>
      <c r="H805" s="30" t="str">
        <f>CONCATENATE(H804," - ","VÃO")</f>
        <v>PLATAFORMA - VÃO</v>
      </c>
      <c r="I805" s="55"/>
      <c r="J805" s="56">
        <v>-1</v>
      </c>
      <c r="K805" s="57"/>
      <c r="L805" s="57"/>
      <c r="M805" s="57"/>
      <c r="N805" s="38">
        <f>2*1.8*2.7+1.5*0.9</f>
        <v>11.07</v>
      </c>
      <c r="O805" s="58">
        <f t="shared" si="36"/>
        <v>-11.07</v>
      </c>
      <c r="P805" s="185"/>
      <c r="Q805" s="185"/>
    </row>
    <row r="806" spans="1:17" hidden="1" outlineLevel="1">
      <c r="E806" s="20"/>
      <c r="F806" s="21"/>
      <c r="G806" s="22"/>
      <c r="H806" s="30"/>
      <c r="I806" s="55"/>
      <c r="J806" s="56"/>
      <c r="K806" s="57"/>
      <c r="L806" s="57"/>
      <c r="M806" s="57"/>
      <c r="N806" s="38"/>
      <c r="O806" s="83"/>
      <c r="P806" s="185"/>
      <c r="Q806" s="185"/>
    </row>
    <row r="807" spans="1:17" ht="45" hidden="1" outlineLevel="1">
      <c r="A807" s="2">
        <v>5</v>
      </c>
      <c r="B807" s="2">
        <v>7</v>
      </c>
      <c r="C807" s="2">
        <f>1+C700</f>
        <v>2</v>
      </c>
      <c r="E807" s="20" t="str">
        <f>CONCATENATE(A807,".",B807,".",C807)</f>
        <v>5.7.2</v>
      </c>
      <c r="F807" s="21" t="s">
        <v>3072</v>
      </c>
      <c r="G807" s="22" t="s">
        <v>262</v>
      </c>
      <c r="H807" s="23" t="s">
        <v>3073</v>
      </c>
      <c r="I807" s="24" t="s">
        <v>45</v>
      </c>
      <c r="J807" s="32"/>
      <c r="K807" s="10"/>
      <c r="L807" s="32"/>
      <c r="M807" s="10"/>
      <c r="N807" s="33"/>
      <c r="O807" s="11">
        <f>SUM(O808:O816)</f>
        <v>4238.21</v>
      </c>
      <c r="P807" s="185"/>
      <c r="Q807" s="185"/>
    </row>
    <row r="808" spans="1:17" hidden="1" outlineLevel="1">
      <c r="E808" s="20"/>
      <c r="F808" s="21"/>
      <c r="G808" s="22"/>
      <c r="H808" s="30" t="s">
        <v>3074</v>
      </c>
      <c r="I808" s="62"/>
      <c r="J808" s="37"/>
      <c r="K808" s="38">
        <f>59.3+91.07</f>
        <v>150.37</v>
      </c>
      <c r="L808" s="37"/>
      <c r="M808" s="38">
        <v>8.6</v>
      </c>
      <c r="N808" s="38"/>
      <c r="O808" s="58">
        <f t="shared" ref="O808:O816" si="37">ROUND(PRODUCT(J808:N808),2)</f>
        <v>1293.18</v>
      </c>
      <c r="P808" s="185"/>
      <c r="Q808" s="185"/>
    </row>
    <row r="809" spans="1:17" hidden="1" outlineLevel="1">
      <c r="E809" s="20"/>
      <c r="F809" s="21"/>
      <c r="G809" s="22"/>
      <c r="H809" s="30" t="s">
        <v>3075</v>
      </c>
      <c r="I809" s="62"/>
      <c r="J809" s="37"/>
      <c r="K809" s="38">
        <v>64.28</v>
      </c>
      <c r="L809" s="37"/>
      <c r="M809" s="38">
        <v>5.9</v>
      </c>
      <c r="N809" s="38"/>
      <c r="O809" s="58">
        <f t="shared" si="37"/>
        <v>379.25</v>
      </c>
      <c r="P809" s="185"/>
      <c r="Q809" s="185"/>
    </row>
    <row r="810" spans="1:17" hidden="1" outlineLevel="1">
      <c r="E810" s="20"/>
      <c r="F810" s="21"/>
      <c r="G810" s="22"/>
      <c r="H810" s="30" t="s">
        <v>3076</v>
      </c>
      <c r="I810" s="35"/>
      <c r="J810" s="41"/>
      <c r="K810" s="33">
        <f>59.3+74.23</f>
        <v>133.53</v>
      </c>
      <c r="L810" s="41"/>
      <c r="M810" s="33">
        <v>8.6</v>
      </c>
      <c r="N810" s="33"/>
      <c r="O810" s="58">
        <f t="shared" si="37"/>
        <v>1148.3599999999999</v>
      </c>
      <c r="P810" s="185"/>
      <c r="Q810" s="185"/>
    </row>
    <row r="811" spans="1:17" hidden="1" outlineLevel="1">
      <c r="E811" s="20"/>
      <c r="F811" s="21"/>
      <c r="G811" s="22"/>
      <c r="H811" s="30" t="s">
        <v>3077</v>
      </c>
      <c r="I811" s="35"/>
      <c r="J811" s="41"/>
      <c r="K811" s="33">
        <v>12.98</v>
      </c>
      <c r="L811" s="41"/>
      <c r="M811" s="33">
        <v>5.9</v>
      </c>
      <c r="N811" s="33"/>
      <c r="O811" s="58">
        <f t="shared" si="37"/>
        <v>76.58</v>
      </c>
      <c r="P811" s="185"/>
      <c r="Q811" s="185"/>
    </row>
    <row r="812" spans="1:17" hidden="1" outlineLevel="1">
      <c r="E812" s="20"/>
      <c r="F812" s="21"/>
      <c r="G812" s="22"/>
      <c r="H812" s="30" t="s">
        <v>3078</v>
      </c>
      <c r="I812" s="35"/>
      <c r="J812" s="41"/>
      <c r="K812" s="33">
        <v>18.600000000000001</v>
      </c>
      <c r="L812" s="41"/>
      <c r="M812" s="33">
        <v>7.25</v>
      </c>
      <c r="N812" s="33"/>
      <c r="O812" s="58">
        <f t="shared" si="37"/>
        <v>134.85</v>
      </c>
      <c r="P812" s="185"/>
      <c r="Q812" s="185"/>
    </row>
    <row r="813" spans="1:17" hidden="1" outlineLevel="1">
      <c r="E813" s="20"/>
      <c r="F813" s="21"/>
      <c r="G813" s="22"/>
      <c r="H813" s="30" t="s">
        <v>3079</v>
      </c>
      <c r="I813" s="35"/>
      <c r="J813" s="41">
        <v>4</v>
      </c>
      <c r="K813" s="33">
        <v>25.84</v>
      </c>
      <c r="L813" s="41"/>
      <c r="M813" s="33">
        <v>7.25</v>
      </c>
      <c r="N813" s="33"/>
      <c r="O813" s="58">
        <f t="shared" si="37"/>
        <v>749.36</v>
      </c>
      <c r="P813" s="185"/>
      <c r="Q813" s="185"/>
    </row>
    <row r="814" spans="1:17" hidden="1" outlineLevel="1">
      <c r="E814" s="20"/>
      <c r="F814" s="21"/>
      <c r="G814" s="22"/>
      <c r="H814" s="30" t="s">
        <v>3080</v>
      </c>
      <c r="I814" s="35"/>
      <c r="J814" s="41"/>
      <c r="K814" s="33">
        <v>259.74</v>
      </c>
      <c r="L814" s="41"/>
      <c r="M814" s="33">
        <v>1.18</v>
      </c>
      <c r="N814" s="33"/>
      <c r="O814" s="58">
        <f t="shared" si="37"/>
        <v>306.49</v>
      </c>
      <c r="P814" s="185"/>
      <c r="Q814" s="185"/>
    </row>
    <row r="815" spans="1:17" hidden="1" outlineLevel="1">
      <c r="E815" s="20"/>
      <c r="F815" s="21"/>
      <c r="G815" s="22"/>
      <c r="H815" s="30" t="s">
        <v>3081</v>
      </c>
      <c r="I815" s="35"/>
      <c r="J815" s="41"/>
      <c r="K815" s="33">
        <f>68.8+59.59</f>
        <v>128.38999999999999</v>
      </c>
      <c r="L815" s="41"/>
      <c r="M815" s="33">
        <v>0.7</v>
      </c>
      <c r="N815" s="33"/>
      <c r="O815" s="58">
        <f t="shared" si="37"/>
        <v>89.87</v>
      </c>
      <c r="P815" s="185"/>
      <c r="Q815" s="185"/>
    </row>
    <row r="816" spans="1:17" hidden="1" outlineLevel="1">
      <c r="E816" s="20"/>
      <c r="F816" s="21"/>
      <c r="G816" s="22"/>
      <c r="H816" s="30" t="s">
        <v>3082</v>
      </c>
      <c r="I816" s="35"/>
      <c r="J816" s="41"/>
      <c r="K816" s="33">
        <v>86.1</v>
      </c>
      <c r="L816" s="41"/>
      <c r="M816" s="33">
        <v>0.7</v>
      </c>
      <c r="N816" s="33"/>
      <c r="O816" s="58">
        <f t="shared" si="37"/>
        <v>60.27</v>
      </c>
      <c r="P816" s="185"/>
      <c r="Q816" s="185"/>
    </row>
    <row r="817" spans="1:17" ht="60" hidden="1" outlineLevel="1">
      <c r="A817" s="2">
        <v>5</v>
      </c>
      <c r="B817" s="2">
        <v>7</v>
      </c>
      <c r="C817" s="2">
        <f>1+C807</f>
        <v>3</v>
      </c>
      <c r="E817" s="20" t="str">
        <f>CONCATENATE(A817,".",B817,".",C817)</f>
        <v>5.7.3</v>
      </c>
      <c r="F817" s="21" t="s">
        <v>3083</v>
      </c>
      <c r="G817" s="22">
        <v>87829</v>
      </c>
      <c r="H817" s="23" t="s">
        <v>266</v>
      </c>
      <c r="I817" s="24" t="s">
        <v>45</v>
      </c>
      <c r="J817" s="32"/>
      <c r="K817" s="10"/>
      <c r="L817" s="32"/>
      <c r="M817" s="10"/>
      <c r="N817" s="33"/>
      <c r="O817" s="11">
        <f>SUM(O819:O923)</f>
        <v>3344.9199999999978</v>
      </c>
      <c r="P817" s="185"/>
      <c r="Q817" s="185"/>
    </row>
    <row r="818" spans="1:17" hidden="1" outlineLevel="1">
      <c r="E818" s="20"/>
      <c r="F818" s="21"/>
      <c r="G818" s="22"/>
      <c r="H818" s="24" t="s">
        <v>2873</v>
      </c>
      <c r="I818" s="24"/>
      <c r="J818" s="25"/>
      <c r="K818" s="10"/>
      <c r="L818" s="32"/>
      <c r="M818" s="10"/>
      <c r="N818" s="38"/>
      <c r="O818" s="31">
        <f t="shared" ref="O818:O881" si="38">ROUND(PRODUCT(J818:N818),2)</f>
        <v>0</v>
      </c>
      <c r="P818" s="185"/>
      <c r="Q818" s="185"/>
    </row>
    <row r="819" spans="1:17" hidden="1" outlineLevel="1">
      <c r="E819" s="20"/>
      <c r="F819" s="21"/>
      <c r="G819" s="22"/>
      <c r="H819" s="105" t="s">
        <v>2874</v>
      </c>
      <c r="I819" s="55"/>
      <c r="J819" s="56"/>
      <c r="K819" s="57">
        <v>25</v>
      </c>
      <c r="L819" s="57"/>
      <c r="M819" s="57">
        <v>3.55</v>
      </c>
      <c r="N819" s="38"/>
      <c r="O819" s="58">
        <f t="shared" si="38"/>
        <v>88.75</v>
      </c>
      <c r="P819" s="185"/>
      <c r="Q819" s="185"/>
    </row>
    <row r="820" spans="1:17" hidden="1" outlineLevel="1">
      <c r="E820" s="20"/>
      <c r="F820" s="21"/>
      <c r="G820" s="22"/>
      <c r="H820" s="30" t="str">
        <f>CONCATENATE(H819," - ","VÃO")</f>
        <v>RECEPÇÃO SECRETARIA - VÃO</v>
      </c>
      <c r="I820" s="55"/>
      <c r="J820" s="56">
        <v>-1</v>
      </c>
      <c r="K820" s="57"/>
      <c r="L820" s="57"/>
      <c r="M820" s="57"/>
      <c r="N820" s="38">
        <f>1.92*0.66+1.92*0.46+3.81*0.46+3.81*1.26+0.9*2.1*2</f>
        <v>12.483600000000003</v>
      </c>
      <c r="O820" s="58">
        <f t="shared" si="38"/>
        <v>-12.48</v>
      </c>
      <c r="P820" s="185"/>
      <c r="Q820" s="185"/>
    </row>
    <row r="821" spans="1:17" hidden="1" outlineLevel="1">
      <c r="E821" s="20"/>
      <c r="F821" s="21"/>
      <c r="G821" s="22"/>
      <c r="H821" s="30" t="s">
        <v>3068</v>
      </c>
      <c r="I821" s="55"/>
      <c r="J821" s="56"/>
      <c r="K821" s="57">
        <v>9.15</v>
      </c>
      <c r="L821" s="57"/>
      <c r="M821" s="57">
        <v>3.55</v>
      </c>
      <c r="N821" s="38"/>
      <c r="O821" s="58">
        <f t="shared" si="38"/>
        <v>32.479999999999997</v>
      </c>
      <c r="P821" s="185"/>
      <c r="Q821" s="185"/>
    </row>
    <row r="822" spans="1:17" hidden="1" outlineLevel="1">
      <c r="E822" s="20"/>
      <c r="F822" s="21"/>
      <c r="G822" s="22"/>
      <c r="H822" s="30" t="str">
        <f>CONCATENATE(H821," - ","VÃO")</f>
        <v>ALMOXARIFADO SEC - VÃO</v>
      </c>
      <c r="I822" s="55"/>
      <c r="J822" s="56">
        <v>-1</v>
      </c>
      <c r="K822" s="57"/>
      <c r="L822" s="57"/>
      <c r="M822" s="57"/>
      <c r="N822" s="38">
        <f>1.92*0.66+0.9*2.1</f>
        <v>3.1572000000000005</v>
      </c>
      <c r="O822" s="58">
        <f t="shared" si="38"/>
        <v>-3.16</v>
      </c>
      <c r="P822" s="185"/>
      <c r="Q822" s="185"/>
    </row>
    <row r="823" spans="1:17" hidden="1" outlineLevel="1">
      <c r="E823" s="20"/>
      <c r="F823" s="21"/>
      <c r="G823" s="22"/>
      <c r="H823" s="30" t="s">
        <v>2991</v>
      </c>
      <c r="I823" s="55"/>
      <c r="J823" s="56"/>
      <c r="K823" s="57">
        <v>13.45</v>
      </c>
      <c r="L823" s="57"/>
      <c r="M823" s="57">
        <v>3.55</v>
      </c>
      <c r="N823" s="38"/>
      <c r="O823" s="58">
        <f t="shared" si="38"/>
        <v>47.75</v>
      </c>
      <c r="P823" s="185"/>
      <c r="Q823" s="185"/>
    </row>
    <row r="824" spans="1:17" hidden="1" outlineLevel="1">
      <c r="E824" s="20"/>
      <c r="F824" s="21"/>
      <c r="G824" s="22"/>
      <c r="H824" s="30" t="str">
        <f>CONCATENATE(H823," - ","VÃO")</f>
        <v>REPROGRAFIA - VÃO</v>
      </c>
      <c r="I824" s="55"/>
      <c r="J824" s="56">
        <v>-1</v>
      </c>
      <c r="K824" s="57"/>
      <c r="L824" s="57"/>
      <c r="M824" s="57"/>
      <c r="N824" s="38">
        <f>1.92*0.46</f>
        <v>0.88319999999999999</v>
      </c>
      <c r="O824" s="58">
        <f t="shared" si="38"/>
        <v>-0.88</v>
      </c>
      <c r="P824" s="185"/>
      <c r="Q824" s="185"/>
    </row>
    <row r="825" spans="1:17" hidden="1" outlineLevel="1">
      <c r="E825" s="20"/>
      <c r="F825" s="21"/>
      <c r="G825" s="22"/>
      <c r="H825" s="105" t="s">
        <v>2875</v>
      </c>
      <c r="I825" s="55"/>
      <c r="J825" s="56"/>
      <c r="K825" s="57">
        <f>(4.05+3.35)*2</f>
        <v>14.8</v>
      </c>
      <c r="L825" s="57"/>
      <c r="M825" s="57">
        <v>3.55</v>
      </c>
      <c r="N825" s="38"/>
      <c r="O825" s="58">
        <f t="shared" si="38"/>
        <v>52.54</v>
      </c>
      <c r="P825" s="185"/>
      <c r="Q825" s="185"/>
    </row>
    <row r="826" spans="1:17" hidden="1" outlineLevel="1">
      <c r="E826" s="20"/>
      <c r="F826" s="21"/>
      <c r="G826" s="22"/>
      <c r="H826" s="30" t="str">
        <f>CONCATENATE(H825," - ","VÃO")</f>
        <v>COORD. PEDAGÓGICA - VÃO</v>
      </c>
      <c r="I826" s="55"/>
      <c r="J826" s="56">
        <v>-1</v>
      </c>
      <c r="K826" s="57"/>
      <c r="L826" s="57"/>
      <c r="M826" s="57"/>
      <c r="N826" s="38">
        <f>3.81*1.26+0.9*2.1</f>
        <v>6.6905999999999999</v>
      </c>
      <c r="O826" s="58">
        <f t="shared" si="38"/>
        <v>-6.69</v>
      </c>
      <c r="P826" s="185"/>
      <c r="Q826" s="185"/>
    </row>
    <row r="827" spans="1:17" hidden="1" outlineLevel="1">
      <c r="E827" s="20"/>
      <c r="F827" s="21"/>
      <c r="G827" s="22"/>
      <c r="H827" s="105" t="s">
        <v>2876</v>
      </c>
      <c r="I827" s="55"/>
      <c r="J827" s="56"/>
      <c r="K827" s="57">
        <f>(4.05+3.35)*2</f>
        <v>14.8</v>
      </c>
      <c r="L827" s="57"/>
      <c r="M827" s="57">
        <v>3.55</v>
      </c>
      <c r="N827" s="38"/>
      <c r="O827" s="58">
        <f t="shared" si="38"/>
        <v>52.54</v>
      </c>
      <c r="P827" s="185"/>
      <c r="Q827" s="185"/>
    </row>
    <row r="828" spans="1:17" hidden="1" outlineLevel="1">
      <c r="E828" s="20"/>
      <c r="F828" s="21"/>
      <c r="G828" s="22"/>
      <c r="H828" s="30" t="str">
        <f>CONCATENATE(H827," - ","VÃO")</f>
        <v>COORD. ESTÁGIO - VÃO</v>
      </c>
      <c r="I828" s="55"/>
      <c r="J828" s="56">
        <v>-1</v>
      </c>
      <c r="K828" s="57"/>
      <c r="L828" s="57"/>
      <c r="M828" s="57"/>
      <c r="N828" s="38">
        <f>0.9*2.1+3.81*0.46</f>
        <v>3.6426000000000003</v>
      </c>
      <c r="O828" s="58">
        <f t="shared" si="38"/>
        <v>-3.64</v>
      </c>
      <c r="P828" s="185"/>
      <c r="Q828" s="185"/>
    </row>
    <row r="829" spans="1:17" hidden="1" outlineLevel="1">
      <c r="E829" s="20"/>
      <c r="F829" s="21"/>
      <c r="G829" s="22"/>
      <c r="H829" s="105" t="s">
        <v>2877</v>
      </c>
      <c r="I829" s="55"/>
      <c r="J829" s="56"/>
      <c r="K829" s="57">
        <v>15.18</v>
      </c>
      <c r="L829" s="57"/>
      <c r="M829" s="57">
        <v>3.55</v>
      </c>
      <c r="N829" s="38"/>
      <c r="O829" s="58">
        <f t="shared" si="38"/>
        <v>53.89</v>
      </c>
      <c r="P829" s="185"/>
      <c r="Q829" s="185"/>
    </row>
    <row r="830" spans="1:17" hidden="1" outlineLevel="1">
      <c r="E830" s="20"/>
      <c r="F830" s="21"/>
      <c r="G830" s="22"/>
      <c r="H830" s="30" t="str">
        <f>CONCATENATE(H829," - ","VÃO")</f>
        <v>RECEPÇÃO - VÃO</v>
      </c>
      <c r="I830" s="55"/>
      <c r="J830" s="56">
        <v>-1</v>
      </c>
      <c r="K830" s="57"/>
      <c r="L830" s="57"/>
      <c r="M830" s="57"/>
      <c r="N830" s="38">
        <f>0.9*2.1*3+2.55*1.26</f>
        <v>8.8829999999999991</v>
      </c>
      <c r="O830" s="58">
        <f t="shared" si="38"/>
        <v>-8.8800000000000008</v>
      </c>
      <c r="P830" s="185"/>
      <c r="Q830" s="185"/>
    </row>
    <row r="831" spans="1:17" hidden="1" outlineLevel="1">
      <c r="E831" s="20"/>
      <c r="F831" s="21"/>
      <c r="G831" s="22"/>
      <c r="H831" s="105" t="s">
        <v>2878</v>
      </c>
      <c r="I831" s="55"/>
      <c r="J831" s="56"/>
      <c r="K831" s="57">
        <v>7.3</v>
      </c>
      <c r="L831" s="57"/>
      <c r="M831" s="57">
        <v>3.55</v>
      </c>
      <c r="N831" s="38"/>
      <c r="O831" s="58">
        <f t="shared" si="38"/>
        <v>25.92</v>
      </c>
      <c r="P831" s="185"/>
      <c r="Q831" s="185"/>
    </row>
    <row r="832" spans="1:17" hidden="1" outlineLevel="1">
      <c r="E832" s="20"/>
      <c r="F832" s="21"/>
      <c r="G832" s="22"/>
      <c r="H832" s="30" t="str">
        <f>CONCATENATE(H831," - ","VÃO")</f>
        <v>WC PCD FEM - VÃO</v>
      </c>
      <c r="I832" s="55"/>
      <c r="J832" s="56">
        <v>-1</v>
      </c>
      <c r="K832" s="57"/>
      <c r="L832" s="57"/>
      <c r="M832" s="57"/>
      <c r="N832" s="38">
        <f>1.29*0.46+2.1*0.9</f>
        <v>2.4834000000000001</v>
      </c>
      <c r="O832" s="58">
        <f t="shared" si="38"/>
        <v>-2.48</v>
      </c>
      <c r="P832" s="185"/>
      <c r="Q832" s="185"/>
    </row>
    <row r="833" spans="5:17" hidden="1" outlineLevel="1">
      <c r="E833" s="20"/>
      <c r="F833" s="21"/>
      <c r="G833" s="22"/>
      <c r="H833" s="105" t="s">
        <v>2879</v>
      </c>
      <c r="I833" s="55"/>
      <c r="J833" s="56"/>
      <c r="K833" s="57">
        <f>1.59*2+2.06*2</f>
        <v>7.3000000000000007</v>
      </c>
      <c r="L833" s="57"/>
      <c r="M833" s="57">
        <v>3.55</v>
      </c>
      <c r="N833" s="38"/>
      <c r="O833" s="58">
        <f t="shared" si="38"/>
        <v>25.92</v>
      </c>
      <c r="P833" s="185"/>
      <c r="Q833" s="185"/>
    </row>
    <row r="834" spans="5:17" hidden="1" outlineLevel="1">
      <c r="E834" s="20"/>
      <c r="F834" s="21"/>
      <c r="G834" s="22"/>
      <c r="H834" s="30" t="str">
        <f>CONCATENATE(H833," - ","VÃO")</f>
        <v>WC PCD MAS - VÃO</v>
      </c>
      <c r="I834" s="55"/>
      <c r="J834" s="56">
        <v>-1</v>
      </c>
      <c r="K834" s="57"/>
      <c r="L834" s="57"/>
      <c r="M834" s="57"/>
      <c r="N834" s="38">
        <f>1.29*0.46+2.1*0.9</f>
        <v>2.4834000000000001</v>
      </c>
      <c r="O834" s="58">
        <f t="shared" si="38"/>
        <v>-2.48</v>
      </c>
      <c r="P834" s="185"/>
      <c r="Q834" s="185"/>
    </row>
    <row r="835" spans="5:17" hidden="1" outlineLevel="1">
      <c r="E835" s="20"/>
      <c r="F835" s="21"/>
      <c r="G835" s="22"/>
      <c r="H835" s="105" t="s">
        <v>2880</v>
      </c>
      <c r="I835" s="55"/>
      <c r="J835" s="56"/>
      <c r="K835" s="57">
        <v>14.24</v>
      </c>
      <c r="L835" s="57"/>
      <c r="M835" s="57">
        <v>3.55</v>
      </c>
      <c r="N835" s="38"/>
      <c r="O835" s="58">
        <f t="shared" si="38"/>
        <v>50.55</v>
      </c>
      <c r="P835" s="185"/>
      <c r="Q835" s="185"/>
    </row>
    <row r="836" spans="5:17" hidden="1" outlineLevel="1">
      <c r="E836" s="20"/>
      <c r="F836" s="21"/>
      <c r="G836" s="22"/>
      <c r="H836" s="30" t="str">
        <f>CONCATENATE(H835," - ","VÃO")</f>
        <v>COPA - VÃO</v>
      </c>
      <c r="I836" s="55"/>
      <c r="J836" s="56">
        <v>-1</v>
      </c>
      <c r="K836" s="57"/>
      <c r="L836" s="57"/>
      <c r="M836" s="57"/>
      <c r="N836" s="38">
        <f>0.9*2.1+3.81*0.46</f>
        <v>3.6426000000000003</v>
      </c>
      <c r="O836" s="58">
        <f t="shared" si="38"/>
        <v>-3.64</v>
      </c>
      <c r="P836" s="185"/>
      <c r="Q836" s="185"/>
    </row>
    <row r="837" spans="5:17" hidden="1" outlineLevel="1">
      <c r="E837" s="20"/>
      <c r="F837" s="21"/>
      <c r="G837" s="22"/>
      <c r="H837" s="105" t="s">
        <v>3069</v>
      </c>
      <c r="I837" s="55"/>
      <c r="J837" s="56"/>
      <c r="K837" s="57">
        <v>18.14</v>
      </c>
      <c r="L837" s="57"/>
      <c r="M837" s="57">
        <v>3.55</v>
      </c>
      <c r="N837" s="38"/>
      <c r="O837" s="58">
        <f t="shared" si="38"/>
        <v>64.400000000000006</v>
      </c>
      <c r="P837" s="185"/>
      <c r="Q837" s="185"/>
    </row>
    <row r="838" spans="5:17" hidden="1" outlineLevel="1">
      <c r="E838" s="20"/>
      <c r="F838" s="21"/>
      <c r="G838" s="22"/>
      <c r="H838" s="30" t="str">
        <f>CONCATENATE(H837," - ","VÃO")</f>
        <v>CIRCULAÇÃO 1 AO LADO DA DIRETORIA - VÃO</v>
      </c>
      <c r="I838" s="55"/>
      <c r="J838" s="56">
        <v>-1</v>
      </c>
      <c r="K838" s="57"/>
      <c r="L838" s="57"/>
      <c r="M838" s="57"/>
      <c r="N838" s="38">
        <f>0.9*2.1*4</f>
        <v>7.5600000000000005</v>
      </c>
      <c r="O838" s="58">
        <f t="shared" si="38"/>
        <v>-7.56</v>
      </c>
      <c r="P838" s="185"/>
      <c r="Q838" s="185"/>
    </row>
    <row r="839" spans="5:17" hidden="1" outlineLevel="1">
      <c r="E839" s="20"/>
      <c r="F839" s="21"/>
      <c r="G839" s="22"/>
      <c r="H839" s="105" t="s">
        <v>2882</v>
      </c>
      <c r="I839" s="55"/>
      <c r="J839" s="56"/>
      <c r="K839" s="57">
        <v>17.62</v>
      </c>
      <c r="L839" s="57"/>
      <c r="M839" s="57">
        <v>3.55</v>
      </c>
      <c r="N839" s="38"/>
      <c r="O839" s="58">
        <f t="shared" si="38"/>
        <v>62.55</v>
      </c>
      <c r="P839" s="185"/>
      <c r="Q839" s="185"/>
    </row>
    <row r="840" spans="5:17" hidden="1" outlineLevel="1">
      <c r="E840" s="20"/>
      <c r="F840" s="21"/>
      <c r="G840" s="22"/>
      <c r="H840" s="30" t="str">
        <f>CONCATENATE(H839," - ","VÃO")</f>
        <v>DIRETORIA - VÃO</v>
      </c>
      <c r="I840" s="55"/>
      <c r="J840" s="56">
        <v>-1</v>
      </c>
      <c r="K840" s="57"/>
      <c r="L840" s="57"/>
      <c r="M840" s="57"/>
      <c r="N840" s="38">
        <f>2*0.9*2.1+3.81*1.26</f>
        <v>8.5806000000000004</v>
      </c>
      <c r="O840" s="58">
        <f t="shared" si="38"/>
        <v>-8.58</v>
      </c>
      <c r="P840" s="185"/>
      <c r="Q840" s="185"/>
    </row>
    <row r="841" spans="5:17" hidden="1" outlineLevel="1">
      <c r="E841" s="20"/>
      <c r="F841" s="21"/>
      <c r="G841" s="22"/>
      <c r="H841" s="105" t="s">
        <v>3070</v>
      </c>
      <c r="I841" s="55"/>
      <c r="J841" s="56"/>
      <c r="K841" s="57">
        <f>8.7*2</f>
        <v>17.399999999999999</v>
      </c>
      <c r="L841" s="57"/>
      <c r="M841" s="57">
        <v>3.55</v>
      </c>
      <c r="N841" s="38"/>
      <c r="O841" s="58">
        <f t="shared" si="38"/>
        <v>61.77</v>
      </c>
      <c r="P841" s="185"/>
      <c r="Q841" s="185"/>
    </row>
    <row r="842" spans="5:17" hidden="1" outlineLevel="1">
      <c r="E842" s="20"/>
      <c r="F842" s="21"/>
      <c r="G842" s="22"/>
      <c r="H842" s="30" t="str">
        <f>CONCATENATE(H841," - ","VÃO")</f>
        <v>WC DIR E BWC FUNC - VÃO</v>
      </c>
      <c r="I842" s="55"/>
      <c r="J842" s="56">
        <v>-1</v>
      </c>
      <c r="K842" s="57"/>
      <c r="L842" s="57"/>
      <c r="M842" s="57"/>
      <c r="N842" s="38">
        <f>0.9*2.1+0.66*0.46</f>
        <v>2.1936</v>
      </c>
      <c r="O842" s="58">
        <f t="shared" si="38"/>
        <v>-2.19</v>
      </c>
      <c r="P842" s="185"/>
      <c r="Q842" s="185"/>
    </row>
    <row r="843" spans="5:17" hidden="1" outlineLevel="1">
      <c r="E843" s="20"/>
      <c r="F843" s="21"/>
      <c r="G843" s="22"/>
      <c r="H843" s="105" t="s">
        <v>2883</v>
      </c>
      <c r="I843" s="55"/>
      <c r="J843" s="56"/>
      <c r="K843" s="57">
        <f>(7.89+4.51)*2</f>
        <v>24.799999999999997</v>
      </c>
      <c r="L843" s="57"/>
      <c r="M843" s="57">
        <v>3.55</v>
      </c>
      <c r="N843" s="38"/>
      <c r="O843" s="58">
        <f t="shared" si="38"/>
        <v>88.04</v>
      </c>
      <c r="P843" s="185"/>
      <c r="Q843" s="185"/>
    </row>
    <row r="844" spans="5:17" hidden="1" outlineLevel="1">
      <c r="E844" s="20"/>
      <c r="F844" s="21"/>
      <c r="G844" s="22"/>
      <c r="H844" s="30" t="str">
        <f>CONCATENATE(H843," - ","VÃO")</f>
        <v>SALA PROFESSORES - VÃO</v>
      </c>
      <c r="I844" s="55"/>
      <c r="J844" s="56">
        <v>-1</v>
      </c>
      <c r="K844" s="57"/>
      <c r="L844" s="57"/>
      <c r="M844" s="57"/>
      <c r="N844" s="38">
        <f>7.7*0.3+2*(3.81*1.26+0.9*2.1)</f>
        <v>15.6912</v>
      </c>
      <c r="O844" s="58">
        <f t="shared" si="38"/>
        <v>-15.69</v>
      </c>
      <c r="P844" s="185"/>
      <c r="Q844" s="185"/>
    </row>
    <row r="845" spans="5:17" hidden="1" outlineLevel="1">
      <c r="E845" s="20"/>
      <c r="F845" s="21"/>
      <c r="G845" s="22"/>
      <c r="H845" s="105" t="s">
        <v>2884</v>
      </c>
      <c r="I845" s="55"/>
      <c r="J845" s="56"/>
      <c r="K845" s="57">
        <v>20.11</v>
      </c>
      <c r="L845" s="57"/>
      <c r="M845" s="57">
        <v>3.55</v>
      </c>
      <c r="N845" s="38"/>
      <c r="O845" s="58">
        <f t="shared" si="38"/>
        <v>71.39</v>
      </c>
      <c r="P845" s="185"/>
      <c r="Q845" s="185"/>
    </row>
    <row r="846" spans="5:17" hidden="1" outlineLevel="1">
      <c r="E846" s="20"/>
      <c r="F846" s="21"/>
      <c r="G846" s="22"/>
      <c r="H846" s="30" t="str">
        <f>CONCATENATE(H845," - ","VÃO")</f>
        <v>MULTIMIDIA PROF - VÃO</v>
      </c>
      <c r="I846" s="55"/>
      <c r="J846" s="56">
        <v>-1</v>
      </c>
      <c r="K846" s="57"/>
      <c r="L846" s="57"/>
      <c r="M846" s="57"/>
      <c r="N846" s="38">
        <f>3.81*0.46*2+0.9*2.1+7.7*0.3</f>
        <v>7.7052000000000014</v>
      </c>
      <c r="O846" s="58">
        <f t="shared" si="38"/>
        <v>-7.71</v>
      </c>
      <c r="P846" s="185"/>
      <c r="Q846" s="185"/>
    </row>
    <row r="847" spans="5:17" hidden="1" outlineLevel="1">
      <c r="E847" s="20"/>
      <c r="F847" s="21"/>
      <c r="G847" s="22"/>
      <c r="H847" s="105" t="s">
        <v>2885</v>
      </c>
      <c r="I847" s="55"/>
      <c r="J847" s="56"/>
      <c r="K847" s="57">
        <f>(8.85+6.85)*2</f>
        <v>31.4</v>
      </c>
      <c r="L847" s="57"/>
      <c r="M847" s="57">
        <v>3.55</v>
      </c>
      <c r="N847" s="38"/>
      <c r="O847" s="58">
        <f t="shared" si="38"/>
        <v>111.47</v>
      </c>
      <c r="P847" s="185"/>
      <c r="Q847" s="185"/>
    </row>
    <row r="848" spans="5:17" hidden="1" outlineLevel="1">
      <c r="E848" s="20"/>
      <c r="F848" s="21"/>
      <c r="G848" s="22"/>
      <c r="H848" s="30" t="str">
        <f>CONCATENATE(H847," - ","VÃO")</f>
        <v>LABORATÓRIO LINGUAS - VÃO</v>
      </c>
      <c r="I848" s="55"/>
      <c r="J848" s="56">
        <v>-1</v>
      </c>
      <c r="K848" s="57"/>
      <c r="L848" s="57"/>
      <c r="M848" s="57"/>
      <c r="N848" s="38">
        <f>2*3.81*1.26+2*3.81*0.46+0.9*2.1</f>
        <v>14.996400000000001</v>
      </c>
      <c r="O848" s="58">
        <f t="shared" si="38"/>
        <v>-15</v>
      </c>
      <c r="P848" s="185"/>
      <c r="Q848" s="185"/>
    </row>
    <row r="849" spans="5:17" hidden="1" outlineLevel="1">
      <c r="E849" s="20"/>
      <c r="F849" s="21"/>
      <c r="G849" s="22"/>
      <c r="H849" s="105" t="s">
        <v>2886</v>
      </c>
      <c r="I849" s="55"/>
      <c r="J849" s="56"/>
      <c r="K849" s="57">
        <f>K847</f>
        <v>31.4</v>
      </c>
      <c r="L849" s="57"/>
      <c r="M849" s="57">
        <v>3.55</v>
      </c>
      <c r="N849" s="38"/>
      <c r="O849" s="58">
        <f t="shared" si="38"/>
        <v>111.47</v>
      </c>
      <c r="P849" s="185"/>
      <c r="Q849" s="185"/>
    </row>
    <row r="850" spans="5:17" hidden="1" outlineLevel="1">
      <c r="E850" s="20"/>
      <c r="F850" s="21"/>
      <c r="G850" s="22"/>
      <c r="H850" s="30" t="str">
        <f>CONCATENATE(H849," - ","VÃO")</f>
        <v>LABORATÓRIO INFORMÁTICA - VÃO</v>
      </c>
      <c r="I850" s="55"/>
      <c r="J850" s="56">
        <v>-1</v>
      </c>
      <c r="K850" s="57"/>
      <c r="L850" s="57"/>
      <c r="M850" s="57"/>
      <c r="N850" s="38">
        <f>(0.9*2.1+3.81*0.46+3.81*1.26)*2</f>
        <v>16.886400000000002</v>
      </c>
      <c r="O850" s="58">
        <f t="shared" si="38"/>
        <v>-16.89</v>
      </c>
      <c r="P850" s="185"/>
      <c r="Q850" s="185"/>
    </row>
    <row r="851" spans="5:17" hidden="1" outlineLevel="1">
      <c r="E851" s="20"/>
      <c r="F851" s="21"/>
      <c r="G851" s="22"/>
      <c r="H851" s="105" t="s">
        <v>2887</v>
      </c>
      <c r="I851" s="55"/>
      <c r="J851" s="56"/>
      <c r="K851" s="57">
        <f>2*(2.35+6.85)</f>
        <v>18.399999999999999</v>
      </c>
      <c r="L851" s="57"/>
      <c r="M851" s="57">
        <v>3.55</v>
      </c>
      <c r="N851" s="38"/>
      <c r="O851" s="58">
        <f t="shared" si="38"/>
        <v>65.319999999999993</v>
      </c>
      <c r="P851" s="185"/>
      <c r="Q851" s="185"/>
    </row>
    <row r="852" spans="5:17" hidden="1" outlineLevel="1">
      <c r="E852" s="20"/>
      <c r="F852" s="21"/>
      <c r="G852" s="22"/>
      <c r="H852" s="30" t="str">
        <f>CONCATENATE(H851," - ","VÃO")</f>
        <v>ALMOXARIFADO INFORMÁTICA - VÃO</v>
      </c>
      <c r="I852" s="55"/>
      <c r="J852" s="56">
        <v>-1</v>
      </c>
      <c r="K852" s="57"/>
      <c r="L852" s="57"/>
      <c r="M852" s="57"/>
      <c r="N852" s="38">
        <f>0.66*1.92+0.46*1.92+0.9*2.1</f>
        <v>4.0404</v>
      </c>
      <c r="O852" s="58">
        <f t="shared" si="38"/>
        <v>-4.04</v>
      </c>
      <c r="P852" s="185"/>
      <c r="Q852" s="185"/>
    </row>
    <row r="853" spans="5:17" hidden="1" outlineLevel="1">
      <c r="E853" s="20"/>
      <c r="F853" s="21"/>
      <c r="G853" s="22"/>
      <c r="H853" s="105" t="s">
        <v>2888</v>
      </c>
      <c r="I853" s="55"/>
      <c r="J853" s="56"/>
      <c r="K853" s="57">
        <f>13.94+6.59</f>
        <v>20.53</v>
      </c>
      <c r="L853" s="57"/>
      <c r="M853" s="57">
        <v>3.55</v>
      </c>
      <c r="N853" s="38"/>
      <c r="O853" s="58">
        <f t="shared" si="38"/>
        <v>72.88</v>
      </c>
      <c r="P853" s="185"/>
      <c r="Q853" s="185"/>
    </row>
    <row r="854" spans="5:17" hidden="1" outlineLevel="1">
      <c r="E854" s="20"/>
      <c r="F854" s="21"/>
      <c r="G854" s="22"/>
      <c r="H854" s="30" t="str">
        <f>CONCATENATE(H853," - ","VÃO")</f>
        <v>ESCADAS 1 - VÃO</v>
      </c>
      <c r="I854" s="55"/>
      <c r="J854" s="56">
        <v>-1</v>
      </c>
      <c r="K854" s="57"/>
      <c r="L854" s="57"/>
      <c r="M854" s="57"/>
      <c r="N854" s="38">
        <f>1.5*0.9+2.1*0.6</f>
        <v>2.6100000000000003</v>
      </c>
      <c r="O854" s="58">
        <f t="shared" si="38"/>
        <v>-2.61</v>
      </c>
      <c r="P854" s="185"/>
      <c r="Q854" s="185"/>
    </row>
    <row r="855" spans="5:17" hidden="1" outlineLevel="1">
      <c r="E855" s="20"/>
      <c r="F855" s="21"/>
      <c r="G855" s="22"/>
      <c r="H855" s="105" t="s">
        <v>2889</v>
      </c>
      <c r="I855" s="55"/>
      <c r="J855" s="56"/>
      <c r="K855" s="57">
        <v>9.89</v>
      </c>
      <c r="L855" s="57"/>
      <c r="M855" s="57">
        <v>3.55</v>
      </c>
      <c r="N855" s="38"/>
      <c r="O855" s="58">
        <f t="shared" si="38"/>
        <v>35.11</v>
      </c>
      <c r="P855" s="185"/>
      <c r="Q855" s="185"/>
    </row>
    <row r="856" spans="5:17" hidden="1" outlineLevel="1">
      <c r="E856" s="20"/>
      <c r="F856" s="21"/>
      <c r="G856" s="22"/>
      <c r="H856" s="30" t="str">
        <f>CONCATENATE(H855," - ","VÃO")</f>
        <v>DEPÓSITO/DML 1 - VÃO</v>
      </c>
      <c r="I856" s="55"/>
      <c r="J856" s="56">
        <v>-1</v>
      </c>
      <c r="K856" s="57"/>
      <c r="L856" s="57"/>
      <c r="M856" s="57"/>
      <c r="N856" s="110">
        <f>0.9*2.1+1.5*0.9</f>
        <v>3.24</v>
      </c>
      <c r="O856" s="58">
        <f t="shared" si="38"/>
        <v>-3.24</v>
      </c>
      <c r="P856" s="185"/>
      <c r="Q856" s="185"/>
    </row>
    <row r="857" spans="5:17" hidden="1" outlineLevel="1">
      <c r="E857" s="20"/>
      <c r="F857" s="21"/>
      <c r="G857" s="22"/>
      <c r="H857" s="105" t="s">
        <v>2890</v>
      </c>
      <c r="I857" s="55"/>
      <c r="J857" s="56"/>
      <c r="K857" s="57">
        <f>K853</f>
        <v>20.53</v>
      </c>
      <c r="L857" s="57"/>
      <c r="M857" s="57">
        <v>3.55</v>
      </c>
      <c r="N857" s="38"/>
      <c r="O857" s="58">
        <f t="shared" si="38"/>
        <v>72.88</v>
      </c>
      <c r="P857" s="185"/>
      <c r="Q857" s="185"/>
    </row>
    <row r="858" spans="5:17" hidden="1" outlineLevel="1">
      <c r="E858" s="20"/>
      <c r="F858" s="21"/>
      <c r="G858" s="22"/>
      <c r="H858" s="30" t="str">
        <f>CONCATENATE(H857," - ","VÃO")</f>
        <v>ESCADAS 2 - VÃO</v>
      </c>
      <c r="I858" s="55"/>
      <c r="J858" s="56">
        <v>-1</v>
      </c>
      <c r="K858" s="57"/>
      <c r="L858" s="57"/>
      <c r="M858" s="57"/>
      <c r="N858" s="38">
        <f>3.3*3</f>
        <v>9.8999999999999986</v>
      </c>
      <c r="O858" s="58">
        <f t="shared" si="38"/>
        <v>-9.9</v>
      </c>
      <c r="P858" s="185"/>
      <c r="Q858" s="185"/>
    </row>
    <row r="859" spans="5:17" hidden="1" outlineLevel="1">
      <c r="E859" s="20"/>
      <c r="F859" s="21"/>
      <c r="G859" s="22"/>
      <c r="H859" s="105" t="s">
        <v>3071</v>
      </c>
      <c r="I859" s="55"/>
      <c r="J859" s="56"/>
      <c r="K859" s="57">
        <v>13.36</v>
      </c>
      <c r="L859" s="57"/>
      <c r="M859" s="57">
        <v>3.55</v>
      </c>
      <c r="N859" s="38"/>
      <c r="O859" s="58">
        <f t="shared" si="38"/>
        <v>47.43</v>
      </c>
      <c r="P859" s="185"/>
      <c r="Q859" s="185"/>
    </row>
    <row r="860" spans="5:17" hidden="1" outlineLevel="1">
      <c r="E860" s="20"/>
      <c r="F860" s="21"/>
      <c r="G860" s="22"/>
      <c r="H860" s="30" t="str">
        <f>CONCATENATE(H859," - ","VÃO")</f>
        <v>PLATAFORMA - VÃO</v>
      </c>
      <c r="I860" s="55"/>
      <c r="J860" s="56">
        <v>-1</v>
      </c>
      <c r="K860" s="57"/>
      <c r="L860" s="57"/>
      <c r="M860" s="57"/>
      <c r="N860" s="110">
        <f>(1.8*2.7)*2+1.5*0.9</f>
        <v>11.07</v>
      </c>
      <c r="O860" s="58">
        <f t="shared" si="38"/>
        <v>-11.07</v>
      </c>
      <c r="P860" s="185"/>
      <c r="Q860" s="185"/>
    </row>
    <row r="861" spans="5:17" hidden="1" outlineLevel="1">
      <c r="E861" s="20"/>
      <c r="F861" s="21"/>
      <c r="G861" s="22"/>
      <c r="H861" s="106" t="s">
        <v>2892</v>
      </c>
      <c r="I861" s="55"/>
      <c r="J861" s="56"/>
      <c r="K861" s="57">
        <v>9.89</v>
      </c>
      <c r="L861" s="57"/>
      <c r="M861" s="57">
        <v>3.55</v>
      </c>
      <c r="N861" s="38"/>
      <c r="O861" s="104">
        <f t="shared" si="38"/>
        <v>35.11</v>
      </c>
      <c r="P861" s="185"/>
      <c r="Q861" s="185"/>
    </row>
    <row r="862" spans="5:17" hidden="1" outlineLevel="1">
      <c r="E862" s="20"/>
      <c r="F862" s="21"/>
      <c r="G862" s="22"/>
      <c r="H862" s="30" t="str">
        <f>CONCATENATE(H861," - ","VÃO")</f>
        <v>DEPÓSITO/DML 2 - VÃO</v>
      </c>
      <c r="I862" s="55"/>
      <c r="J862" s="56">
        <v>-1</v>
      </c>
      <c r="K862" s="57"/>
      <c r="L862" s="57"/>
      <c r="M862" s="57"/>
      <c r="N862" s="38">
        <f>1.8*2.7+0.9*2.1</f>
        <v>6.75</v>
      </c>
      <c r="O862" s="104">
        <f t="shared" si="38"/>
        <v>-6.75</v>
      </c>
      <c r="P862" s="185"/>
      <c r="Q862" s="185"/>
    </row>
    <row r="863" spans="5:17" hidden="1" outlineLevel="1">
      <c r="E863" s="20"/>
      <c r="F863" s="21"/>
      <c r="G863" s="22"/>
      <c r="H863" s="105" t="s">
        <v>2893</v>
      </c>
      <c r="I863" s="55"/>
      <c r="J863" s="56"/>
      <c r="K863" s="57">
        <f>(4.95+1.6)*2</f>
        <v>13.100000000000001</v>
      </c>
      <c r="L863" s="57"/>
      <c r="M863" s="57">
        <v>3.55</v>
      </c>
      <c r="N863" s="38"/>
      <c r="O863" s="58">
        <f t="shared" si="38"/>
        <v>46.51</v>
      </c>
      <c r="P863" s="185"/>
      <c r="Q863" s="185"/>
    </row>
    <row r="864" spans="5:17" hidden="1" outlineLevel="1">
      <c r="E864" s="20"/>
      <c r="F864" s="21"/>
      <c r="G864" s="22"/>
      <c r="H864" s="30" t="str">
        <f>CONCATENATE(H863," - ","VÃO")</f>
        <v>ALMOXARIFADO - VÃO</v>
      </c>
      <c r="I864" s="55"/>
      <c r="J864" s="56">
        <v>-1</v>
      </c>
      <c r="K864" s="57"/>
      <c r="L864" s="57"/>
      <c r="M864" s="57"/>
      <c r="N864" s="110">
        <f>1.5*0.9+1.8*3+0.9*2.1</f>
        <v>8.64</v>
      </c>
      <c r="O864" s="58">
        <f t="shared" si="38"/>
        <v>-8.64</v>
      </c>
      <c r="P864" s="185"/>
      <c r="Q864" s="185"/>
    </row>
    <row r="865" spans="5:17" hidden="1" outlineLevel="1">
      <c r="E865" s="20"/>
      <c r="F865" s="21"/>
      <c r="G865" s="22"/>
      <c r="H865" s="105" t="s">
        <v>2894</v>
      </c>
      <c r="I865" s="55"/>
      <c r="J865" s="56"/>
      <c r="K865" s="57">
        <f>2*(6.85+8.85)</f>
        <v>31.4</v>
      </c>
      <c r="L865" s="57"/>
      <c r="M865" s="57">
        <v>3.55</v>
      </c>
      <c r="N865" s="38"/>
      <c r="O865" s="58">
        <f t="shared" si="38"/>
        <v>111.47</v>
      </c>
      <c r="P865" s="185"/>
      <c r="Q865" s="185"/>
    </row>
    <row r="866" spans="5:17" hidden="1" outlineLevel="1">
      <c r="E866" s="20"/>
      <c r="F866" s="21"/>
      <c r="G866" s="22"/>
      <c r="H866" s="30" t="str">
        <f>CONCATENATE(H865," - ","VÃO")</f>
        <v>LABORATÓRIO QUÍMICA - VÃO</v>
      </c>
      <c r="I866" s="55"/>
      <c r="J866" s="56">
        <v>-1</v>
      </c>
      <c r="K866" s="57"/>
      <c r="L866" s="57"/>
      <c r="M866" s="57"/>
      <c r="N866" s="111">
        <f>2*(3.81*1.26+3.81*0.46+0.9*2.1)</f>
        <v>16.886400000000002</v>
      </c>
      <c r="O866" s="58">
        <f t="shared" si="38"/>
        <v>-16.89</v>
      </c>
      <c r="P866" s="185"/>
      <c r="Q866" s="185"/>
    </row>
    <row r="867" spans="5:17" hidden="1" outlineLevel="1">
      <c r="E867" s="20"/>
      <c r="F867" s="21"/>
      <c r="G867" s="22"/>
      <c r="H867" s="105" t="s">
        <v>2895</v>
      </c>
      <c r="I867" s="55"/>
      <c r="J867" s="56"/>
      <c r="K867" s="57">
        <f>2*(4.35+2.68)</f>
        <v>14.059999999999999</v>
      </c>
      <c r="L867" s="57"/>
      <c r="M867" s="57">
        <v>3.55</v>
      </c>
      <c r="N867" s="38"/>
      <c r="O867" s="58">
        <f t="shared" si="38"/>
        <v>49.91</v>
      </c>
      <c r="P867" s="185"/>
      <c r="Q867" s="185"/>
    </row>
    <row r="868" spans="5:17" hidden="1" outlineLevel="1">
      <c r="E868" s="20"/>
      <c r="F868" s="21"/>
      <c r="G868" s="22"/>
      <c r="H868" s="30" t="str">
        <f>CONCATENATE(H867," - ","VÃO")</f>
        <v>SALA TÉCNICA - VÃO</v>
      </c>
      <c r="I868" s="55"/>
      <c r="J868" s="56">
        <v>-1</v>
      </c>
      <c r="K868" s="57"/>
      <c r="L868" s="57"/>
      <c r="M868" s="57"/>
      <c r="N868" s="38">
        <f>0.9*2.1+3.81*0.46</f>
        <v>3.6426000000000003</v>
      </c>
      <c r="O868" s="58">
        <f t="shared" si="38"/>
        <v>-3.64</v>
      </c>
      <c r="P868" s="185"/>
      <c r="Q868" s="185"/>
    </row>
    <row r="869" spans="5:17" hidden="1" outlineLevel="1">
      <c r="E869" s="20"/>
      <c r="F869" s="21"/>
      <c r="G869" s="22"/>
      <c r="H869" s="105" t="s">
        <v>2896</v>
      </c>
      <c r="I869" s="55"/>
      <c r="J869" s="56"/>
      <c r="K869" s="57">
        <f>(4.35+4.02)*2</f>
        <v>16.739999999999998</v>
      </c>
      <c r="L869" s="57"/>
      <c r="M869" s="57">
        <v>3.55</v>
      </c>
      <c r="N869" s="38"/>
      <c r="O869" s="58">
        <f t="shared" si="38"/>
        <v>59.43</v>
      </c>
      <c r="P869" s="185"/>
      <c r="Q869" s="185"/>
    </row>
    <row r="870" spans="5:17" hidden="1" outlineLevel="1">
      <c r="E870" s="20"/>
      <c r="F870" s="21"/>
      <c r="G870" s="22"/>
      <c r="H870" s="30" t="str">
        <f>CONCATENATE(H869," - ","VÃO")</f>
        <v>ALMOX. LABORATÓRIOS QUIM/BIO - VÃO</v>
      </c>
      <c r="I870" s="55"/>
      <c r="J870" s="56">
        <v>-1</v>
      </c>
      <c r="K870" s="57"/>
      <c r="L870" s="57"/>
      <c r="M870" s="57"/>
      <c r="N870" s="111">
        <f>2*0.9*2.1+3.81*0.46</f>
        <v>5.5326000000000004</v>
      </c>
      <c r="O870" s="58">
        <f t="shared" si="38"/>
        <v>-5.53</v>
      </c>
      <c r="P870" s="185"/>
      <c r="Q870" s="185"/>
    </row>
    <row r="871" spans="5:17" hidden="1" outlineLevel="1">
      <c r="E871" s="20"/>
      <c r="F871" s="21"/>
      <c r="G871" s="22"/>
      <c r="H871" s="105" t="s">
        <v>2897</v>
      </c>
      <c r="I871" s="55"/>
      <c r="J871" s="56"/>
      <c r="K871" s="57">
        <f>K865</f>
        <v>31.4</v>
      </c>
      <c r="L871" s="57"/>
      <c r="M871" s="57">
        <v>3.55</v>
      </c>
      <c r="N871" s="38"/>
      <c r="O871" s="58">
        <f t="shared" si="38"/>
        <v>111.47</v>
      </c>
      <c r="P871" s="185"/>
      <c r="Q871" s="185"/>
    </row>
    <row r="872" spans="5:17" hidden="1" outlineLevel="1">
      <c r="E872" s="20"/>
      <c r="F872" s="21"/>
      <c r="G872" s="22"/>
      <c r="H872" s="30" t="str">
        <f>CONCATENATE(H871," - ","VÃO")</f>
        <v>LABORATÓRIO BIOLOGIA - VÃO</v>
      </c>
      <c r="I872" s="55"/>
      <c r="J872" s="56">
        <v>-1</v>
      </c>
      <c r="K872" s="57"/>
      <c r="L872" s="57"/>
      <c r="M872" s="57"/>
      <c r="N872" s="111">
        <f>2*3.81*1.26+2*3.81*0.46+0.9*2.1*2</f>
        <v>16.886400000000002</v>
      </c>
      <c r="O872" s="58">
        <f t="shared" si="38"/>
        <v>-16.89</v>
      </c>
      <c r="P872" s="185"/>
      <c r="Q872" s="185"/>
    </row>
    <row r="873" spans="5:17" hidden="1" outlineLevel="1">
      <c r="E873" s="20"/>
      <c r="F873" s="21"/>
      <c r="G873" s="22"/>
      <c r="H873" s="105" t="s">
        <v>2898</v>
      </c>
      <c r="I873" s="55"/>
      <c r="J873" s="56"/>
      <c r="K873" s="57">
        <f>K871</f>
        <v>31.4</v>
      </c>
      <c r="L873" s="57"/>
      <c r="M873" s="57">
        <v>3.55</v>
      </c>
      <c r="N873" s="38"/>
      <c r="O873" s="58">
        <f t="shared" si="38"/>
        <v>111.47</v>
      </c>
      <c r="P873" s="185"/>
      <c r="Q873" s="185"/>
    </row>
    <row r="874" spans="5:17" hidden="1" outlineLevel="1">
      <c r="E874" s="20"/>
      <c r="F874" s="21"/>
      <c r="G874" s="22"/>
      <c r="H874" s="30" t="str">
        <f>CONCATENATE(H873," - ","VÃO")</f>
        <v>LABORATÓRIO FÍSICA - VÃO</v>
      </c>
      <c r="I874" s="55"/>
      <c r="J874" s="56">
        <v>-1</v>
      </c>
      <c r="K874" s="57"/>
      <c r="L874" s="57"/>
      <c r="M874" s="57"/>
      <c r="N874" s="111">
        <f>2*3.81*1.26+2*3.81*0.46+0.9*2.1*2</f>
        <v>16.886400000000002</v>
      </c>
      <c r="O874" s="58">
        <f t="shared" si="38"/>
        <v>-16.89</v>
      </c>
      <c r="P874" s="185"/>
      <c r="Q874" s="185"/>
    </row>
    <row r="875" spans="5:17" hidden="1" outlineLevel="1">
      <c r="E875" s="20"/>
      <c r="F875" s="21"/>
      <c r="G875" s="22"/>
      <c r="H875" s="105" t="s">
        <v>2899</v>
      </c>
      <c r="I875" s="55"/>
      <c r="J875" s="56"/>
      <c r="K875" s="57">
        <f>K867</f>
        <v>14.059999999999999</v>
      </c>
      <c r="L875" s="57"/>
      <c r="M875" s="57">
        <v>3.55</v>
      </c>
      <c r="N875" s="38"/>
      <c r="O875" s="58">
        <f t="shared" si="38"/>
        <v>49.91</v>
      </c>
      <c r="P875" s="185"/>
      <c r="Q875" s="185"/>
    </row>
    <row r="876" spans="5:17" hidden="1" outlineLevel="1">
      <c r="E876" s="20"/>
      <c r="F876" s="21"/>
      <c r="G876" s="22"/>
      <c r="H876" s="30" t="str">
        <f>CONCATENATE(H875," - ","VÃO")</f>
        <v>DEPARTAMENTO MAT.MULTIMÍDIA - VÃO</v>
      </c>
      <c r="I876" s="55"/>
      <c r="J876" s="56">
        <v>-1</v>
      </c>
      <c r="K876" s="57"/>
      <c r="L876" s="57"/>
      <c r="M876" s="57"/>
      <c r="N876" s="38">
        <f>0.9*2.1+3.81*0.46</f>
        <v>3.6426000000000003</v>
      </c>
      <c r="O876" s="58">
        <f t="shared" si="38"/>
        <v>-3.64</v>
      </c>
      <c r="P876" s="185"/>
      <c r="Q876" s="185"/>
    </row>
    <row r="877" spans="5:17" hidden="1" outlineLevel="1">
      <c r="E877" s="20"/>
      <c r="F877" s="21"/>
      <c r="G877" s="22"/>
      <c r="H877" s="105" t="s">
        <v>2900</v>
      </c>
      <c r="I877" s="55"/>
      <c r="J877" s="56"/>
      <c r="K877" s="57">
        <f>K869</f>
        <v>16.739999999999998</v>
      </c>
      <c r="L877" s="57"/>
      <c r="M877" s="57">
        <v>3.55</v>
      </c>
      <c r="N877" s="38"/>
      <c r="O877" s="58">
        <f t="shared" si="38"/>
        <v>59.43</v>
      </c>
      <c r="P877" s="185"/>
      <c r="Q877" s="185"/>
    </row>
    <row r="878" spans="5:17" hidden="1" outlineLevel="1">
      <c r="E878" s="20"/>
      <c r="F878" s="21"/>
      <c r="G878" s="22"/>
      <c r="H878" s="30" t="str">
        <f>CONCATENATE(H877," - ","VÃO")</f>
        <v>ALMOXARIFADO LABORATÓRIOS FÍS/MAT - VÃO</v>
      </c>
      <c r="I878" s="55"/>
      <c r="J878" s="56">
        <v>-1</v>
      </c>
      <c r="K878" s="57"/>
      <c r="L878" s="57"/>
      <c r="M878" s="57"/>
      <c r="N878" s="62">
        <f>0.9*2.1+3.81*0.46</f>
        <v>3.6426000000000003</v>
      </c>
      <c r="O878" s="58">
        <f t="shared" si="38"/>
        <v>-3.64</v>
      </c>
      <c r="P878" s="185"/>
      <c r="Q878" s="185"/>
    </row>
    <row r="879" spans="5:17" hidden="1" outlineLevel="1">
      <c r="E879" s="20"/>
      <c r="F879" s="21"/>
      <c r="G879" s="22"/>
      <c r="H879" s="30" t="s">
        <v>2901</v>
      </c>
      <c r="I879" s="55"/>
      <c r="J879" s="56"/>
      <c r="K879" s="57">
        <f>K871</f>
        <v>31.4</v>
      </c>
      <c r="L879" s="57"/>
      <c r="M879" s="57">
        <v>3.55</v>
      </c>
      <c r="N879" s="38"/>
      <c r="O879" s="58">
        <f t="shared" si="38"/>
        <v>111.47</v>
      </c>
      <c r="P879" s="185"/>
      <c r="Q879" s="185"/>
    </row>
    <row r="880" spans="5:17" hidden="1" outlineLevel="1">
      <c r="E880" s="20"/>
      <c r="F880" s="21"/>
      <c r="G880" s="22"/>
      <c r="H880" s="30" t="str">
        <f>CONCATENATE(H879," - ","VÃO")</f>
        <v>LABORATÓRIO MATEMÁTICA - VÃO</v>
      </c>
      <c r="I880" s="55"/>
      <c r="J880" s="56">
        <v>-1</v>
      </c>
      <c r="K880" s="57"/>
      <c r="L880" s="57"/>
      <c r="M880" s="57"/>
      <c r="N880" s="62">
        <f>N874</f>
        <v>16.886400000000002</v>
      </c>
      <c r="O880" s="58">
        <f t="shared" si="38"/>
        <v>-16.89</v>
      </c>
      <c r="P880" s="185"/>
      <c r="Q880" s="185"/>
    </row>
    <row r="881" spans="5:17" hidden="1" outlineLevel="1">
      <c r="E881" s="20"/>
      <c r="F881" s="21"/>
      <c r="G881" s="22"/>
      <c r="H881" s="30" t="s">
        <v>2902</v>
      </c>
      <c r="I881" s="55"/>
      <c r="J881" s="56"/>
      <c r="K881" s="57">
        <v>7.1</v>
      </c>
      <c r="L881" s="57"/>
      <c r="M881" s="57">
        <v>3.55</v>
      </c>
      <c r="N881" s="38"/>
      <c r="O881" s="58">
        <f t="shared" si="38"/>
        <v>25.21</v>
      </c>
      <c r="P881" s="185"/>
      <c r="Q881" s="185"/>
    </row>
    <row r="882" spans="5:17" hidden="1" outlineLevel="1">
      <c r="E882" s="20"/>
      <c r="F882" s="21"/>
      <c r="G882" s="22"/>
      <c r="H882" s="30" t="str">
        <f>CONCATENATE(H881," - ","VÃO")</f>
        <v>WC PCD FEM. - VÃO</v>
      </c>
      <c r="I882" s="55"/>
      <c r="J882" s="56">
        <v>-1</v>
      </c>
      <c r="K882" s="57"/>
      <c r="L882" s="57"/>
      <c r="M882" s="57"/>
      <c r="N882" s="111">
        <f>0.9*2.1+1.29*0.46</f>
        <v>2.4834000000000001</v>
      </c>
      <c r="O882" s="58">
        <f t="shared" ref="O882:O923" si="39">ROUND(PRODUCT(J882:N882),2)</f>
        <v>-2.48</v>
      </c>
      <c r="P882" s="185"/>
      <c r="Q882" s="185"/>
    </row>
    <row r="883" spans="5:17" hidden="1" outlineLevel="1">
      <c r="E883" s="20"/>
      <c r="F883" s="21"/>
      <c r="G883" s="22"/>
      <c r="H883" s="30" t="s">
        <v>2903</v>
      </c>
      <c r="I883" s="55"/>
      <c r="J883" s="56"/>
      <c r="K883" s="57">
        <v>7.1</v>
      </c>
      <c r="L883" s="57"/>
      <c r="M883" s="57">
        <v>3.55</v>
      </c>
      <c r="N883" s="38"/>
      <c r="O883" s="58">
        <f t="shared" si="39"/>
        <v>25.21</v>
      </c>
      <c r="P883" s="185"/>
      <c r="Q883" s="185"/>
    </row>
    <row r="884" spans="5:17" hidden="1" outlineLevel="1">
      <c r="E884" s="20"/>
      <c r="F884" s="21"/>
      <c r="G884" s="22"/>
      <c r="H884" s="30" t="str">
        <f>CONCATENATE(H883," - ","VÃO")</f>
        <v>WC PCD MASC. - VÃO</v>
      </c>
      <c r="I884" s="55"/>
      <c r="J884" s="56">
        <v>-1</v>
      </c>
      <c r="K884" s="57"/>
      <c r="L884" s="57"/>
      <c r="M884" s="57"/>
      <c r="N884" s="111">
        <f>0.9*2.1+1.29*0.46</f>
        <v>2.4834000000000001</v>
      </c>
      <c r="O884" s="58">
        <f t="shared" si="39"/>
        <v>-2.48</v>
      </c>
      <c r="P884" s="185"/>
      <c r="Q884" s="185"/>
    </row>
    <row r="885" spans="5:17" hidden="1" outlineLevel="1">
      <c r="E885" s="20"/>
      <c r="F885" s="21"/>
      <c r="G885" s="22"/>
      <c r="H885" s="30" t="s">
        <v>2904</v>
      </c>
      <c r="I885" s="55"/>
      <c r="J885" s="56"/>
      <c r="K885" s="57">
        <v>17.12</v>
      </c>
      <c r="L885" s="57"/>
      <c r="M885" s="57">
        <v>3.55</v>
      </c>
      <c r="N885" s="38"/>
      <c r="O885" s="58">
        <f t="shared" si="39"/>
        <v>60.78</v>
      </c>
      <c r="P885" s="185"/>
      <c r="Q885" s="185"/>
    </row>
    <row r="886" spans="5:17" hidden="1" outlineLevel="1">
      <c r="E886" s="20"/>
      <c r="F886" s="21"/>
      <c r="G886" s="22"/>
      <c r="H886" s="30" t="str">
        <f>CONCATENATE(H885," - ","VÃO")</f>
        <v>SANIT. FEM - VÃO</v>
      </c>
      <c r="I886" s="55"/>
      <c r="J886" s="56">
        <v>-1</v>
      </c>
      <c r="K886" s="57"/>
      <c r="L886" s="57"/>
      <c r="M886" s="57"/>
      <c r="N886" s="111">
        <f>0.9*2.1+3.15*0.66</f>
        <v>3.9690000000000003</v>
      </c>
      <c r="O886" s="58">
        <f t="shared" si="39"/>
        <v>-3.97</v>
      </c>
      <c r="P886" s="185"/>
      <c r="Q886" s="185"/>
    </row>
    <row r="887" spans="5:17" hidden="1" outlineLevel="1">
      <c r="E887" s="20"/>
      <c r="F887" s="21"/>
      <c r="G887" s="22"/>
      <c r="H887" s="30" t="s">
        <v>2905</v>
      </c>
      <c r="I887" s="55"/>
      <c r="J887" s="56"/>
      <c r="K887" s="57">
        <v>17.12</v>
      </c>
      <c r="L887" s="57"/>
      <c r="M887" s="57">
        <v>3.55</v>
      </c>
      <c r="N887" s="38"/>
      <c r="O887" s="58">
        <f t="shared" si="39"/>
        <v>60.78</v>
      </c>
      <c r="P887" s="185"/>
      <c r="Q887" s="185"/>
    </row>
    <row r="888" spans="5:17" hidden="1" outlineLevel="1">
      <c r="E888" s="20"/>
      <c r="F888" s="21"/>
      <c r="G888" s="22"/>
      <c r="H888" s="30" t="str">
        <f>CONCATENATE(H887," - ","VÃO")</f>
        <v>SANIT. MASC - VÃO</v>
      </c>
      <c r="I888" s="55"/>
      <c r="J888" s="56">
        <v>-1</v>
      </c>
      <c r="K888" s="57"/>
      <c r="L888" s="57"/>
      <c r="M888" s="57"/>
      <c r="N888" s="111">
        <f>0.9*2.1+3.15*0.66</f>
        <v>3.9690000000000003</v>
      </c>
      <c r="O888" s="58">
        <f t="shared" si="39"/>
        <v>-3.97</v>
      </c>
      <c r="P888" s="185"/>
      <c r="Q888" s="185"/>
    </row>
    <row r="889" spans="5:17" hidden="1" outlineLevel="1">
      <c r="E889" s="20"/>
      <c r="F889" s="21"/>
      <c r="G889" s="22"/>
      <c r="H889" s="24" t="s">
        <v>2910</v>
      </c>
      <c r="I889" s="24"/>
      <c r="J889" s="25"/>
      <c r="K889" s="10"/>
      <c r="L889" s="32"/>
      <c r="M889" s="10"/>
      <c r="N889" s="38"/>
      <c r="O889" s="31">
        <f t="shared" si="39"/>
        <v>0</v>
      </c>
      <c r="P889" s="185"/>
      <c r="Q889" s="185"/>
    </row>
    <row r="890" spans="5:17" hidden="1" outlineLevel="1">
      <c r="E890" s="20"/>
      <c r="F890" s="21"/>
      <c r="G890" s="22"/>
      <c r="H890" s="30" t="s">
        <v>2911</v>
      </c>
      <c r="I890" s="55"/>
      <c r="J890" s="56"/>
      <c r="K890" s="57">
        <f>2*(6.85+8.85)</f>
        <v>31.4</v>
      </c>
      <c r="L890" s="57"/>
      <c r="M890" s="57">
        <v>3.55</v>
      </c>
      <c r="N890" s="38"/>
      <c r="O890" s="58">
        <f t="shared" si="39"/>
        <v>111.47</v>
      </c>
      <c r="P890" s="185"/>
      <c r="Q890" s="185"/>
    </row>
    <row r="891" spans="5:17" hidden="1" outlineLevel="1">
      <c r="E891" s="20"/>
      <c r="F891" s="21"/>
      <c r="G891" s="22"/>
      <c r="H891" s="30" t="str">
        <f>CONCATENATE(H890," - ","VÃO")</f>
        <v>SALA 1 - VÃO</v>
      </c>
      <c r="I891" s="55"/>
      <c r="J891" s="56">
        <v>-1</v>
      </c>
      <c r="K891" s="57"/>
      <c r="L891" s="57"/>
      <c r="M891" s="57"/>
      <c r="N891" s="38">
        <f>(0.9*2.1)+2*(3.81*0.46)+2*(3.81*1.26)</f>
        <v>14.996400000000001</v>
      </c>
      <c r="O891" s="58">
        <f t="shared" si="39"/>
        <v>-15</v>
      </c>
      <c r="P891" s="185"/>
      <c r="Q891" s="185"/>
    </row>
    <row r="892" spans="5:17" hidden="1" outlineLevel="1">
      <c r="E892" s="20"/>
      <c r="F892" s="21"/>
      <c r="G892" s="22"/>
      <c r="H892" s="30" t="s">
        <v>2912</v>
      </c>
      <c r="I892" s="55"/>
      <c r="J892" s="56"/>
      <c r="K892" s="57">
        <f>2*(6.85+8.85)</f>
        <v>31.4</v>
      </c>
      <c r="L892" s="57"/>
      <c r="M892" s="57">
        <v>3.55</v>
      </c>
      <c r="N892" s="38"/>
      <c r="O892" s="58">
        <f t="shared" si="39"/>
        <v>111.47</v>
      </c>
      <c r="P892" s="185"/>
      <c r="Q892" s="185"/>
    </row>
    <row r="893" spans="5:17" hidden="1" outlineLevel="1">
      <c r="E893" s="20"/>
      <c r="F893" s="21"/>
      <c r="G893" s="22"/>
      <c r="H893" s="30" t="str">
        <f>CONCATENATE(H892," - ","VÃO")</f>
        <v>SALA 2 - VÃO</v>
      </c>
      <c r="I893" s="55"/>
      <c r="J893" s="56">
        <v>-1</v>
      </c>
      <c r="K893" s="57"/>
      <c r="L893" s="57"/>
      <c r="M893" s="57"/>
      <c r="N893" s="38">
        <f>(0.9*2.1)+2*(3.81*0.46)+2*(3.81*1.26)</f>
        <v>14.996400000000001</v>
      </c>
      <c r="O893" s="58">
        <f t="shared" si="39"/>
        <v>-15</v>
      </c>
      <c r="P893" s="185"/>
      <c r="Q893" s="185"/>
    </row>
    <row r="894" spans="5:17" hidden="1" outlineLevel="1">
      <c r="E894" s="20"/>
      <c r="F894" s="21"/>
      <c r="G894" s="22"/>
      <c r="H894" s="30" t="s">
        <v>2913</v>
      </c>
      <c r="I894" s="55"/>
      <c r="J894" s="56"/>
      <c r="K894" s="57">
        <f>2*(6.85+8.85)</f>
        <v>31.4</v>
      </c>
      <c r="L894" s="57"/>
      <c r="M894" s="57">
        <v>3.55</v>
      </c>
      <c r="N894" s="38"/>
      <c r="O894" s="58">
        <f t="shared" si="39"/>
        <v>111.47</v>
      </c>
      <c r="P894" s="185"/>
      <c r="Q894" s="84"/>
    </row>
    <row r="895" spans="5:17" hidden="1" outlineLevel="1">
      <c r="E895" s="20"/>
      <c r="F895" s="21"/>
      <c r="G895" s="22"/>
      <c r="H895" s="30" t="str">
        <f>CONCATENATE(H894," - ","VÃO")</f>
        <v>SALA 3 - VÃO</v>
      </c>
      <c r="I895" s="55"/>
      <c r="J895" s="56">
        <v>-1</v>
      </c>
      <c r="K895" s="57"/>
      <c r="L895" s="57"/>
      <c r="M895" s="57"/>
      <c r="N895" s="38">
        <f>(0.9*2.1)+2*(3.81*0.46)+2*(3.81*1.26)</f>
        <v>14.996400000000001</v>
      </c>
      <c r="O895" s="58">
        <f t="shared" si="39"/>
        <v>-15</v>
      </c>
      <c r="P895" s="185"/>
      <c r="Q895" s="185"/>
    </row>
    <row r="896" spans="5:17" hidden="1" outlineLevel="1">
      <c r="E896" s="20"/>
      <c r="F896" s="21"/>
      <c r="G896" s="22"/>
      <c r="H896" s="30" t="s">
        <v>2914</v>
      </c>
      <c r="I896" s="55"/>
      <c r="J896" s="56"/>
      <c r="K896" s="57">
        <f>2*(6.85+8.85)</f>
        <v>31.4</v>
      </c>
      <c r="L896" s="57"/>
      <c r="M896" s="57">
        <v>3.55</v>
      </c>
      <c r="N896" s="38"/>
      <c r="O896" s="58">
        <f t="shared" si="39"/>
        <v>111.47</v>
      </c>
      <c r="P896" s="185"/>
      <c r="Q896" s="185"/>
    </row>
    <row r="897" spans="5:17" hidden="1" outlineLevel="1">
      <c r="E897" s="20"/>
      <c r="F897" s="21"/>
      <c r="G897" s="22"/>
      <c r="H897" s="30" t="str">
        <f>CONCATENATE(H896," - ","VÃO")</f>
        <v>SALA 4 - VÃO</v>
      </c>
      <c r="I897" s="55"/>
      <c r="J897" s="56">
        <v>-1</v>
      </c>
      <c r="K897" s="57"/>
      <c r="L897" s="57"/>
      <c r="M897" s="57"/>
      <c r="N897" s="38">
        <f>(0.9*2.1)+2*(3.81*0.46)+2*(3.81*1.26)</f>
        <v>14.996400000000001</v>
      </c>
      <c r="O897" s="58">
        <f t="shared" si="39"/>
        <v>-15</v>
      </c>
      <c r="P897" s="185"/>
      <c r="Q897" s="185"/>
    </row>
    <row r="898" spans="5:17" hidden="1" outlineLevel="1">
      <c r="E898" s="20"/>
      <c r="F898" s="21"/>
      <c r="G898" s="22"/>
      <c r="H898" s="30" t="s">
        <v>2915</v>
      </c>
      <c r="I898" s="55"/>
      <c r="J898" s="56"/>
      <c r="K898" s="57">
        <f>2*(6.85+8.85)</f>
        <v>31.4</v>
      </c>
      <c r="L898" s="57"/>
      <c r="M898" s="57">
        <v>3.55</v>
      </c>
      <c r="N898" s="38"/>
      <c r="O898" s="58">
        <f t="shared" si="39"/>
        <v>111.47</v>
      </c>
      <c r="P898" s="185"/>
      <c r="Q898" s="185"/>
    </row>
    <row r="899" spans="5:17" hidden="1" outlineLevel="1">
      <c r="E899" s="20"/>
      <c r="F899" s="21"/>
      <c r="G899" s="22"/>
      <c r="H899" s="30" t="str">
        <f>CONCATENATE(H898," - ","VÃO")</f>
        <v>SALA 5 - VÃO</v>
      </c>
      <c r="I899" s="55"/>
      <c r="J899" s="56">
        <v>-1</v>
      </c>
      <c r="K899" s="57"/>
      <c r="L899" s="57"/>
      <c r="M899" s="57"/>
      <c r="N899" s="38">
        <f>(0.9*2.1)+2*(3.81*0.46)+2*(3.81*1.26)</f>
        <v>14.996400000000001</v>
      </c>
      <c r="O899" s="58">
        <f t="shared" si="39"/>
        <v>-15</v>
      </c>
      <c r="P899" s="185"/>
      <c r="Q899" s="185"/>
    </row>
    <row r="900" spans="5:17" hidden="1" outlineLevel="1">
      <c r="E900" s="20"/>
      <c r="F900" s="21"/>
      <c r="G900" s="22"/>
      <c r="H900" s="30" t="s">
        <v>2916</v>
      </c>
      <c r="I900" s="55"/>
      <c r="J900" s="56"/>
      <c r="K900" s="57">
        <f>2*(8.85+6.85)</f>
        <v>31.4</v>
      </c>
      <c r="L900" s="57"/>
      <c r="M900" s="57">
        <v>3.55</v>
      </c>
      <c r="N900" s="38"/>
      <c r="O900" s="58">
        <f t="shared" si="39"/>
        <v>111.47</v>
      </c>
      <c r="P900" s="185"/>
      <c r="Q900" s="185"/>
    </row>
    <row r="901" spans="5:17" hidden="1" outlineLevel="1">
      <c r="E901" s="20"/>
      <c r="F901" s="21"/>
      <c r="G901" s="22"/>
      <c r="H901" s="30" t="str">
        <f>CONCATENATE(H900," - ","VÃO")</f>
        <v>SALA 6 - VÃO</v>
      </c>
      <c r="I901" s="55"/>
      <c r="J901" s="56">
        <v>-1</v>
      </c>
      <c r="K901" s="57"/>
      <c r="L901" s="57"/>
      <c r="M901" s="57"/>
      <c r="N901" s="38">
        <f>(0.9*2.1)+3*(3.81*1.26)</f>
        <v>16.291800000000002</v>
      </c>
      <c r="O901" s="58">
        <f t="shared" si="39"/>
        <v>-16.29</v>
      </c>
      <c r="P901" s="185"/>
      <c r="Q901" s="185"/>
    </row>
    <row r="902" spans="5:17" hidden="1" outlineLevel="1">
      <c r="E902" s="20"/>
      <c r="F902" s="21"/>
      <c r="G902" s="22"/>
      <c r="H902" s="30" t="s">
        <v>2917</v>
      </c>
      <c r="I902" s="55"/>
      <c r="J902" s="56"/>
      <c r="K902" s="57">
        <f>K900</f>
        <v>31.4</v>
      </c>
      <c r="L902" s="57"/>
      <c r="M902" s="57">
        <v>3.55</v>
      </c>
      <c r="N902" s="38"/>
      <c r="O902" s="58">
        <f t="shared" si="39"/>
        <v>111.47</v>
      </c>
      <c r="P902" s="185"/>
      <c r="Q902" s="185"/>
    </row>
    <row r="903" spans="5:17" hidden="1" outlineLevel="1">
      <c r="E903" s="20"/>
      <c r="F903" s="21"/>
      <c r="G903" s="22"/>
      <c r="H903" s="30" t="str">
        <f>CONCATENATE(H902," - ","VÃO")</f>
        <v>SALA 7 - VÃO</v>
      </c>
      <c r="I903" s="55"/>
      <c r="J903" s="56">
        <v>-1</v>
      </c>
      <c r="K903" s="57"/>
      <c r="L903" s="57"/>
      <c r="M903" s="57"/>
      <c r="N903" s="38">
        <f>(0.9*2.1)+2*(3.81*1.26)+2*(3.81*1.26)</f>
        <v>21.092400000000001</v>
      </c>
      <c r="O903" s="58">
        <f t="shared" si="39"/>
        <v>-21.09</v>
      </c>
      <c r="P903" s="185"/>
      <c r="Q903" s="185"/>
    </row>
    <row r="904" spans="5:17" hidden="1" outlineLevel="1">
      <c r="E904" s="20"/>
      <c r="F904" s="21"/>
      <c r="G904" s="22"/>
      <c r="H904" s="30" t="s">
        <v>2918</v>
      </c>
      <c r="I904" s="55"/>
      <c r="J904" s="56"/>
      <c r="K904" s="57">
        <f>2*(6.85+8.85)</f>
        <v>31.4</v>
      </c>
      <c r="L904" s="57"/>
      <c r="M904" s="57">
        <v>3.55</v>
      </c>
      <c r="N904" s="38"/>
      <c r="O904" s="58">
        <f t="shared" si="39"/>
        <v>111.47</v>
      </c>
      <c r="P904" s="185"/>
      <c r="Q904" s="185"/>
    </row>
    <row r="905" spans="5:17" hidden="1" outlineLevel="1">
      <c r="E905" s="20"/>
      <c r="F905" s="21"/>
      <c r="G905" s="22"/>
      <c r="H905" s="30" t="str">
        <f>CONCATENATE(H904," - ","VÃO")</f>
        <v>SALA 8 - VÃO</v>
      </c>
      <c r="I905" s="55"/>
      <c r="J905" s="56">
        <v>-1</v>
      </c>
      <c r="K905" s="57"/>
      <c r="L905" s="57"/>
      <c r="M905" s="57"/>
      <c r="N905" s="38">
        <f>(0.9*2.1)+2*(3.81*0.46)+2*(3.81*1.26)</f>
        <v>14.996400000000001</v>
      </c>
      <c r="O905" s="58">
        <f t="shared" si="39"/>
        <v>-15</v>
      </c>
      <c r="P905" s="185"/>
      <c r="Q905" s="185"/>
    </row>
    <row r="906" spans="5:17" hidden="1" outlineLevel="1">
      <c r="E906" s="20"/>
      <c r="F906" s="21"/>
      <c r="G906" s="22"/>
      <c r="H906" s="30" t="s">
        <v>2919</v>
      </c>
      <c r="I906" s="55"/>
      <c r="J906" s="56"/>
      <c r="K906" s="57">
        <f>2*(6.85+8.85)</f>
        <v>31.4</v>
      </c>
      <c r="L906" s="57"/>
      <c r="M906" s="57">
        <v>3.55</v>
      </c>
      <c r="N906" s="38"/>
      <c r="O906" s="58">
        <f t="shared" si="39"/>
        <v>111.47</v>
      </c>
      <c r="P906" s="185"/>
      <c r="Q906" s="185"/>
    </row>
    <row r="907" spans="5:17" hidden="1" outlineLevel="1">
      <c r="E907" s="20"/>
      <c r="F907" s="21"/>
      <c r="G907" s="22"/>
      <c r="H907" s="30" t="str">
        <f>CONCATENATE(H906," - ","VÃO")</f>
        <v>SALA 9 - VÃO</v>
      </c>
      <c r="I907" s="55"/>
      <c r="J907" s="56">
        <v>-1</v>
      </c>
      <c r="K907" s="57"/>
      <c r="L907" s="57"/>
      <c r="M907" s="57"/>
      <c r="N907" s="38">
        <f>(0.9*2.1)+2*(3.81*0.46)+2*(3.81*1.26)</f>
        <v>14.996400000000001</v>
      </c>
      <c r="O907" s="58">
        <f t="shared" si="39"/>
        <v>-15</v>
      </c>
      <c r="P907" s="185"/>
      <c r="Q907" s="185"/>
    </row>
    <row r="908" spans="5:17" hidden="1" outlineLevel="1">
      <c r="E908" s="20"/>
      <c r="F908" s="21"/>
      <c r="G908" s="22"/>
      <c r="H908" s="30" t="s">
        <v>2920</v>
      </c>
      <c r="I908" s="55"/>
      <c r="J908" s="56"/>
      <c r="K908" s="57">
        <f>2*(6.85+8.85)</f>
        <v>31.4</v>
      </c>
      <c r="L908" s="57"/>
      <c r="M908" s="57">
        <v>3.55</v>
      </c>
      <c r="N908" s="38"/>
      <c r="O908" s="58">
        <f t="shared" si="39"/>
        <v>111.47</v>
      </c>
      <c r="P908" s="185"/>
      <c r="Q908" s="84"/>
    </row>
    <row r="909" spans="5:17" hidden="1" outlineLevel="1">
      <c r="E909" s="20"/>
      <c r="F909" s="21"/>
      <c r="G909" s="22"/>
      <c r="H909" s="30" t="str">
        <f>CONCATENATE(H908," - ","VÃO")</f>
        <v>SALA 10 - VÃO</v>
      </c>
      <c r="I909" s="55"/>
      <c r="J909" s="56">
        <v>-1</v>
      </c>
      <c r="K909" s="57"/>
      <c r="L909" s="57"/>
      <c r="M909" s="57"/>
      <c r="N909" s="38">
        <f>(0.9*2.1)+2*(3.81*0.46)+2*(3.81*1.26)</f>
        <v>14.996400000000001</v>
      </c>
      <c r="O909" s="58">
        <f t="shared" si="39"/>
        <v>-15</v>
      </c>
      <c r="P909" s="185"/>
      <c r="Q909" s="185"/>
    </row>
    <row r="910" spans="5:17" hidden="1" outlineLevel="1">
      <c r="E910" s="20"/>
      <c r="F910" s="21"/>
      <c r="G910" s="22"/>
      <c r="H910" s="30" t="s">
        <v>2921</v>
      </c>
      <c r="I910" s="55"/>
      <c r="J910" s="56"/>
      <c r="K910" s="57">
        <f>2*(6.85+8.85)</f>
        <v>31.4</v>
      </c>
      <c r="L910" s="57"/>
      <c r="M910" s="57">
        <v>3.55</v>
      </c>
      <c r="N910" s="38"/>
      <c r="O910" s="58">
        <f t="shared" si="39"/>
        <v>111.47</v>
      </c>
      <c r="P910" s="185"/>
      <c r="Q910" s="185"/>
    </row>
    <row r="911" spans="5:17" hidden="1" outlineLevel="1">
      <c r="E911" s="20"/>
      <c r="F911" s="21"/>
      <c r="G911" s="22"/>
      <c r="H911" s="30" t="str">
        <f>CONCATENATE(H910," - ","VÃO")</f>
        <v>SALA 11 - VÃO</v>
      </c>
      <c r="I911" s="55"/>
      <c r="J911" s="56">
        <v>-1</v>
      </c>
      <c r="K911" s="57"/>
      <c r="L911" s="57"/>
      <c r="M911" s="57"/>
      <c r="N911" s="38">
        <f>(0.9*2.1)+2*(3.81*0.46)+2*(3.81*1.26)</f>
        <v>14.996400000000001</v>
      </c>
      <c r="O911" s="58">
        <f t="shared" si="39"/>
        <v>-15</v>
      </c>
      <c r="P911" s="185"/>
      <c r="Q911" s="185"/>
    </row>
    <row r="912" spans="5:17" hidden="1" outlineLevel="1">
      <c r="E912" s="20"/>
      <c r="F912" s="21"/>
      <c r="G912" s="22"/>
      <c r="H912" s="30" t="s">
        <v>2922</v>
      </c>
      <c r="I912" s="55"/>
      <c r="J912" s="56"/>
      <c r="K912" s="57">
        <f>2*(6.85+8.85)</f>
        <v>31.4</v>
      </c>
      <c r="L912" s="57"/>
      <c r="M912" s="57">
        <v>3.55</v>
      </c>
      <c r="N912" s="38"/>
      <c r="O912" s="58">
        <f t="shared" si="39"/>
        <v>111.47</v>
      </c>
      <c r="P912" s="185"/>
      <c r="Q912" s="185"/>
    </row>
    <row r="913" spans="1:17" hidden="1" outlineLevel="1">
      <c r="E913" s="20"/>
      <c r="F913" s="21"/>
      <c r="G913" s="22"/>
      <c r="H913" s="30" t="str">
        <f>CONCATENATE(H912," - ","VÃO")</f>
        <v>SALA 12 - VÃO</v>
      </c>
      <c r="I913" s="55"/>
      <c r="J913" s="56">
        <v>-1</v>
      </c>
      <c r="K913" s="57"/>
      <c r="L913" s="57"/>
      <c r="M913" s="57"/>
      <c r="N913" s="38">
        <f>(0.9*2.1)+2*(3.81*0.46)+2*(3.81*1.26)</f>
        <v>14.996400000000001</v>
      </c>
      <c r="O913" s="58">
        <f t="shared" si="39"/>
        <v>-15</v>
      </c>
      <c r="P913" s="185"/>
      <c r="Q913" s="185"/>
    </row>
    <row r="914" spans="1:17" hidden="1" outlineLevel="1">
      <c r="E914" s="20"/>
      <c r="F914" s="21"/>
      <c r="G914" s="22"/>
      <c r="H914" s="30" t="s">
        <v>2923</v>
      </c>
      <c r="I914" s="55"/>
      <c r="J914" s="56"/>
      <c r="K914" s="57">
        <f>6.85+2.06+1.3+1.29+5.55+3.35</f>
        <v>20.400000000000002</v>
      </c>
      <c r="L914" s="57"/>
      <c r="M914" s="57">
        <v>3.55</v>
      </c>
      <c r="N914" s="38"/>
      <c r="O914" s="58">
        <f t="shared" si="39"/>
        <v>72.42</v>
      </c>
      <c r="P914" s="185"/>
      <c r="Q914" s="185"/>
    </row>
    <row r="915" spans="1:17" hidden="1" outlineLevel="1">
      <c r="E915" s="20"/>
      <c r="F915" s="21"/>
      <c r="G915" s="22"/>
      <c r="H915" s="30" t="str">
        <f>CONCATENATE(H914," - ","VÃO")</f>
        <v>SANIT. FEMININO - VÃO</v>
      </c>
      <c r="I915" s="55"/>
      <c r="J915" s="56">
        <v>-1</v>
      </c>
      <c r="K915" s="57"/>
      <c r="L915" s="57"/>
      <c r="M915" s="57"/>
      <c r="N915" s="38">
        <f>N886</f>
        <v>3.9690000000000003</v>
      </c>
      <c r="O915" s="58">
        <f t="shared" si="39"/>
        <v>-3.97</v>
      </c>
      <c r="P915" s="185"/>
      <c r="Q915" s="185"/>
    </row>
    <row r="916" spans="1:17" hidden="1" outlineLevel="1">
      <c r="E916" s="20"/>
      <c r="F916" s="21"/>
      <c r="G916" s="22"/>
      <c r="H916" s="30" t="s">
        <v>2924</v>
      </c>
      <c r="I916" s="55"/>
      <c r="J916" s="56"/>
      <c r="K916" s="57">
        <f>5.55+3.35+6.85+2.06+1.3+1.29</f>
        <v>20.399999999999999</v>
      </c>
      <c r="L916" s="57"/>
      <c r="M916" s="57">
        <v>3.55</v>
      </c>
      <c r="N916" s="38"/>
      <c r="O916" s="58">
        <f t="shared" si="39"/>
        <v>72.42</v>
      </c>
      <c r="P916" s="185"/>
      <c r="Q916" s="185"/>
    </row>
    <row r="917" spans="1:17" hidden="1" outlineLevel="1">
      <c r="E917" s="20"/>
      <c r="F917" s="21"/>
      <c r="G917" s="22"/>
      <c r="H917" s="30" t="str">
        <f>CONCATENATE(H916," - ","VÃO")</f>
        <v>SANIT. MASCULINO - VÃO</v>
      </c>
      <c r="I917" s="55"/>
      <c r="J917" s="56">
        <v>-1</v>
      </c>
      <c r="K917" s="57"/>
      <c r="L917" s="57"/>
      <c r="M917" s="57"/>
      <c r="N917" s="38">
        <f>(3.15*0.66)+(0.9*2.1)</f>
        <v>3.9690000000000003</v>
      </c>
      <c r="O917" s="58">
        <f t="shared" si="39"/>
        <v>-3.97</v>
      </c>
      <c r="P917" s="185"/>
      <c r="Q917" s="185"/>
    </row>
    <row r="918" spans="1:17" hidden="1" outlineLevel="1">
      <c r="E918" s="20"/>
      <c r="F918" s="21"/>
      <c r="G918" s="22"/>
      <c r="H918" s="30" t="s">
        <v>2925</v>
      </c>
      <c r="I918" s="55"/>
      <c r="J918" s="56"/>
      <c r="K918" s="57">
        <f>2*(1.85+2.06)</f>
        <v>7.82</v>
      </c>
      <c r="L918" s="57"/>
      <c r="M918" s="57">
        <v>3.55</v>
      </c>
      <c r="N918" s="38"/>
      <c r="O918" s="58">
        <f t="shared" si="39"/>
        <v>27.76</v>
      </c>
      <c r="P918" s="185"/>
      <c r="Q918" s="185"/>
    </row>
    <row r="919" spans="1:17" hidden="1" outlineLevel="1">
      <c r="E919" s="20"/>
      <c r="F919" s="21"/>
      <c r="G919" s="22"/>
      <c r="H919" s="30" t="str">
        <f>CONCATENATE(H918," - ","VÃO")</f>
        <v>WC PCD MASC - VÃO</v>
      </c>
      <c r="I919" s="55"/>
      <c r="J919" s="56">
        <v>-1</v>
      </c>
      <c r="K919" s="57"/>
      <c r="L919" s="57"/>
      <c r="M919" s="57"/>
      <c r="N919" s="38">
        <f>(1.29*0.46)+(0.9*2.1)</f>
        <v>2.4834000000000001</v>
      </c>
      <c r="O919" s="58">
        <f t="shared" si="39"/>
        <v>-2.48</v>
      </c>
      <c r="P919" s="185"/>
      <c r="Q919" s="185"/>
    </row>
    <row r="920" spans="1:17" hidden="1" outlineLevel="1">
      <c r="E920" s="20"/>
      <c r="F920" s="21"/>
      <c r="G920" s="22"/>
      <c r="H920" s="30" t="s">
        <v>2878</v>
      </c>
      <c r="I920" s="55"/>
      <c r="J920" s="56"/>
      <c r="K920" s="57">
        <f>7.9+6.8</f>
        <v>14.7</v>
      </c>
      <c r="L920" s="57"/>
      <c r="M920" s="57">
        <v>3.55</v>
      </c>
      <c r="N920" s="38"/>
      <c r="O920" s="58">
        <f t="shared" si="39"/>
        <v>52.19</v>
      </c>
      <c r="P920" s="185"/>
      <c r="Q920" s="185"/>
    </row>
    <row r="921" spans="1:17" hidden="1" outlineLevel="1">
      <c r="E921" s="20"/>
      <c r="F921" s="21"/>
      <c r="G921" s="22"/>
      <c r="H921" s="30" t="str">
        <f>CONCATENATE(H920," - ","VÃO")</f>
        <v>WC PCD FEM - VÃO</v>
      </c>
      <c r="I921" s="55"/>
      <c r="J921" s="56">
        <v>-1</v>
      </c>
      <c r="K921" s="57"/>
      <c r="L921" s="57"/>
      <c r="M921" s="57"/>
      <c r="N921" s="38">
        <f>0.9*2.1+1.5*0.9+1.8*2.7</f>
        <v>8.1000000000000014</v>
      </c>
      <c r="O921" s="58">
        <f t="shared" si="39"/>
        <v>-8.1</v>
      </c>
      <c r="P921" s="185"/>
      <c r="Q921" s="185"/>
    </row>
    <row r="922" spans="1:17" hidden="1" outlineLevel="1">
      <c r="E922" s="20"/>
      <c r="F922" s="21"/>
      <c r="G922" s="22"/>
      <c r="H922" s="30" t="s">
        <v>3071</v>
      </c>
      <c r="I922" s="55"/>
      <c r="J922" s="56"/>
      <c r="K922" s="57">
        <v>13.34</v>
      </c>
      <c r="L922" s="57"/>
      <c r="M922" s="57">
        <v>3.55</v>
      </c>
      <c r="N922" s="38"/>
      <c r="O922" s="58">
        <f t="shared" si="39"/>
        <v>47.36</v>
      </c>
      <c r="P922" s="185"/>
      <c r="Q922" s="185"/>
    </row>
    <row r="923" spans="1:17" hidden="1" outlineLevel="1">
      <c r="E923" s="20"/>
      <c r="F923" s="21"/>
      <c r="G923" s="22"/>
      <c r="H923" s="30" t="str">
        <f>CONCATENATE(H922," - ","VÃO")</f>
        <v>PLATAFORMA - VÃO</v>
      </c>
      <c r="I923" s="55"/>
      <c r="J923" s="56">
        <v>-1</v>
      </c>
      <c r="K923" s="57"/>
      <c r="L923" s="57"/>
      <c r="M923" s="57"/>
      <c r="N923" s="38">
        <f>2*1.8*2.7+1.5*0.9</f>
        <v>11.07</v>
      </c>
      <c r="O923" s="58">
        <f t="shared" si="39"/>
        <v>-11.07</v>
      </c>
      <c r="P923" s="185"/>
      <c r="Q923" s="185"/>
    </row>
    <row r="924" spans="1:17" hidden="1" outlineLevel="1">
      <c r="E924" s="107"/>
      <c r="F924" s="24"/>
      <c r="G924" s="24"/>
      <c r="H924" s="30"/>
      <c r="I924" s="55"/>
      <c r="J924" s="56"/>
      <c r="K924" s="57"/>
      <c r="L924" s="57"/>
      <c r="M924" s="57"/>
      <c r="N924" s="38"/>
      <c r="O924" s="58"/>
      <c r="P924" s="185"/>
      <c r="Q924" s="185"/>
    </row>
    <row r="925" spans="1:17" ht="45" hidden="1" outlineLevel="1">
      <c r="A925" s="2">
        <v>5</v>
      </c>
      <c r="B925" s="2">
        <v>7</v>
      </c>
      <c r="C925" s="2">
        <f>1+C817</f>
        <v>4</v>
      </c>
      <c r="E925" s="20" t="str">
        <f>CONCATENATE(A925,".",B925,".",C925)</f>
        <v>5.7.4</v>
      </c>
      <c r="F925" s="21" t="s">
        <v>3084</v>
      </c>
      <c r="G925" s="22">
        <v>87779</v>
      </c>
      <c r="H925" s="23" t="s">
        <v>269</v>
      </c>
      <c r="I925" s="24" t="s">
        <v>45</v>
      </c>
      <c r="J925" s="32"/>
      <c r="K925" s="10"/>
      <c r="L925" s="32"/>
      <c r="M925" s="63"/>
      <c r="N925" s="33"/>
      <c r="O925" s="11">
        <f>SUM(O926:O934)</f>
        <v>4238.21</v>
      </c>
      <c r="P925" s="185"/>
      <c r="Q925" s="185"/>
    </row>
    <row r="926" spans="1:17" hidden="1" outlineLevel="1">
      <c r="E926" s="20"/>
      <c r="F926" s="21"/>
      <c r="G926" s="22"/>
      <c r="H926" s="30" t="s">
        <v>3074</v>
      </c>
      <c r="I926" s="62"/>
      <c r="J926" s="37"/>
      <c r="K926" s="38">
        <f>59.3+91.07</f>
        <v>150.37</v>
      </c>
      <c r="L926" s="37"/>
      <c r="M926" s="38">
        <v>8.6</v>
      </c>
      <c r="N926" s="38"/>
      <c r="O926" s="58">
        <f t="shared" ref="O926:O934" si="40">ROUND(PRODUCT(J926:N926),2)</f>
        <v>1293.18</v>
      </c>
      <c r="P926" s="185"/>
      <c r="Q926" s="185"/>
    </row>
    <row r="927" spans="1:17" hidden="1" outlineLevel="1">
      <c r="E927" s="20"/>
      <c r="F927" s="21"/>
      <c r="G927" s="22"/>
      <c r="H927" s="30" t="s">
        <v>3075</v>
      </c>
      <c r="I927" s="62"/>
      <c r="J927" s="37"/>
      <c r="K927" s="38">
        <v>64.28</v>
      </c>
      <c r="L927" s="37"/>
      <c r="M927" s="38">
        <v>5.9</v>
      </c>
      <c r="N927" s="38"/>
      <c r="O927" s="58">
        <f t="shared" si="40"/>
        <v>379.25</v>
      </c>
      <c r="P927" s="185"/>
      <c r="Q927" s="185"/>
    </row>
    <row r="928" spans="1:17" hidden="1" outlineLevel="1">
      <c r="E928" s="20"/>
      <c r="F928" s="21"/>
      <c r="G928" s="22"/>
      <c r="H928" s="30" t="s">
        <v>3076</v>
      </c>
      <c r="I928" s="35"/>
      <c r="J928" s="41"/>
      <c r="K928" s="33">
        <f>59.3+74.23</f>
        <v>133.53</v>
      </c>
      <c r="L928" s="41"/>
      <c r="M928" s="33">
        <v>8.6</v>
      </c>
      <c r="N928" s="33"/>
      <c r="O928" s="58">
        <f t="shared" si="40"/>
        <v>1148.3599999999999</v>
      </c>
      <c r="P928" s="185"/>
      <c r="Q928" s="185"/>
    </row>
    <row r="929" spans="1:17" hidden="1" outlineLevel="1">
      <c r="E929" s="20"/>
      <c r="F929" s="21"/>
      <c r="G929" s="22"/>
      <c r="H929" s="30" t="s">
        <v>3077</v>
      </c>
      <c r="I929" s="35"/>
      <c r="J929" s="41"/>
      <c r="K929" s="33">
        <v>12.98</v>
      </c>
      <c r="L929" s="41"/>
      <c r="M929" s="33">
        <v>5.9</v>
      </c>
      <c r="N929" s="33"/>
      <c r="O929" s="58">
        <f t="shared" si="40"/>
        <v>76.58</v>
      </c>
      <c r="P929" s="185"/>
      <c r="Q929" s="185"/>
    </row>
    <row r="930" spans="1:17" hidden="1" outlineLevel="1">
      <c r="E930" s="20"/>
      <c r="F930" s="21"/>
      <c r="G930" s="22"/>
      <c r="H930" s="30" t="s">
        <v>3078</v>
      </c>
      <c r="I930" s="35"/>
      <c r="J930" s="41"/>
      <c r="K930" s="33">
        <v>18.600000000000001</v>
      </c>
      <c r="L930" s="41"/>
      <c r="M930" s="33">
        <v>7.25</v>
      </c>
      <c r="N930" s="33"/>
      <c r="O930" s="58">
        <f t="shared" si="40"/>
        <v>134.85</v>
      </c>
      <c r="P930" s="185"/>
      <c r="Q930" s="185"/>
    </row>
    <row r="931" spans="1:17" hidden="1" outlineLevel="1">
      <c r="E931" s="20"/>
      <c r="F931" s="21"/>
      <c r="G931" s="22"/>
      <c r="H931" s="30" t="s">
        <v>3079</v>
      </c>
      <c r="I931" s="35"/>
      <c r="J931" s="41">
        <v>4</v>
      </c>
      <c r="K931" s="33">
        <v>25.84</v>
      </c>
      <c r="L931" s="41"/>
      <c r="M931" s="33">
        <v>7.25</v>
      </c>
      <c r="N931" s="33"/>
      <c r="O931" s="58">
        <f t="shared" si="40"/>
        <v>749.36</v>
      </c>
      <c r="P931" s="185"/>
      <c r="Q931" s="185"/>
    </row>
    <row r="932" spans="1:17" hidden="1" outlineLevel="1">
      <c r="E932" s="20"/>
      <c r="F932" s="21"/>
      <c r="G932" s="22"/>
      <c r="H932" s="30" t="s">
        <v>3080</v>
      </c>
      <c r="I932" s="35"/>
      <c r="J932" s="41"/>
      <c r="K932" s="33">
        <v>259.74</v>
      </c>
      <c r="L932" s="41"/>
      <c r="M932" s="33">
        <v>1.18</v>
      </c>
      <c r="N932" s="33"/>
      <c r="O932" s="58">
        <f t="shared" si="40"/>
        <v>306.49</v>
      </c>
      <c r="P932" s="185"/>
      <c r="Q932" s="185"/>
    </row>
    <row r="933" spans="1:17" hidden="1" outlineLevel="1">
      <c r="E933" s="20"/>
      <c r="F933" s="21"/>
      <c r="G933" s="22"/>
      <c r="H933" s="30" t="s">
        <v>3081</v>
      </c>
      <c r="I933" s="35"/>
      <c r="J933" s="41"/>
      <c r="K933" s="33">
        <f>68.8+59.59</f>
        <v>128.38999999999999</v>
      </c>
      <c r="L933" s="41"/>
      <c r="M933" s="33">
        <v>0.7</v>
      </c>
      <c r="N933" s="33"/>
      <c r="O933" s="58">
        <f t="shared" si="40"/>
        <v>89.87</v>
      </c>
      <c r="P933" s="185"/>
      <c r="Q933" s="185"/>
    </row>
    <row r="934" spans="1:17" hidden="1" outlineLevel="1">
      <c r="E934" s="20"/>
      <c r="F934" s="21"/>
      <c r="G934" s="22"/>
      <c r="H934" s="30" t="s">
        <v>3082</v>
      </c>
      <c r="I934" s="35"/>
      <c r="J934" s="41"/>
      <c r="K934" s="33">
        <v>86.1</v>
      </c>
      <c r="L934" s="41"/>
      <c r="M934" s="33">
        <v>0.7</v>
      </c>
      <c r="N934" s="33"/>
      <c r="O934" s="58">
        <f t="shared" si="40"/>
        <v>60.27</v>
      </c>
      <c r="P934" s="185"/>
      <c r="Q934" s="185"/>
    </row>
    <row r="935" spans="1:17" ht="45" hidden="1" outlineLevel="1">
      <c r="A935" s="2">
        <v>5</v>
      </c>
      <c r="B935" s="2">
        <v>7</v>
      </c>
      <c r="C935" s="2">
        <f>1+C925</f>
        <v>5</v>
      </c>
      <c r="E935" s="20" t="str">
        <f>CONCATENATE(A935,".",B935,".",C935)</f>
        <v>5.7.5</v>
      </c>
      <c r="F935" s="21" t="s">
        <v>3085</v>
      </c>
      <c r="G935" s="22" t="s">
        <v>271</v>
      </c>
      <c r="H935" s="23" t="s">
        <v>272</v>
      </c>
      <c r="I935" s="24" t="s">
        <v>45</v>
      </c>
      <c r="J935" s="32"/>
      <c r="K935" s="10"/>
      <c r="L935" s="32"/>
      <c r="M935" s="63"/>
      <c r="N935" s="33"/>
      <c r="O935" s="11">
        <f>SUM(O936:O977)</f>
        <v>655.94999999999982</v>
      </c>
      <c r="P935" s="185"/>
      <c r="Q935" s="185"/>
    </row>
    <row r="936" spans="1:17" hidden="1" outlineLevel="1">
      <c r="E936" s="20"/>
      <c r="F936" s="21"/>
      <c r="G936" s="22"/>
      <c r="H936" s="24" t="s">
        <v>2873</v>
      </c>
      <c r="I936" s="24"/>
      <c r="J936" s="25"/>
      <c r="K936" s="10"/>
      <c r="L936" s="32"/>
      <c r="M936" s="10"/>
      <c r="N936" s="38"/>
      <c r="O936" s="31">
        <f t="shared" ref="O936:O949" si="41">ROUND(PRODUCT(J936:N936),2)</f>
        <v>0</v>
      </c>
      <c r="P936" s="185"/>
      <c r="Q936" s="185"/>
    </row>
    <row r="937" spans="1:17" hidden="1" outlineLevel="1">
      <c r="E937" s="20"/>
      <c r="F937" s="21"/>
      <c r="G937" s="22"/>
      <c r="H937" s="105" t="s">
        <v>2878</v>
      </c>
      <c r="I937" s="55"/>
      <c r="J937" s="56"/>
      <c r="K937" s="57">
        <f>2.06*2+2*1.59</f>
        <v>7.3000000000000007</v>
      </c>
      <c r="L937" s="57"/>
      <c r="M937" s="57">
        <v>2.82</v>
      </c>
      <c r="N937" s="38"/>
      <c r="O937" s="58">
        <f t="shared" si="41"/>
        <v>20.59</v>
      </c>
      <c r="P937" s="185"/>
      <c r="Q937" s="185"/>
    </row>
    <row r="938" spans="1:17" hidden="1" outlineLevel="1">
      <c r="E938" s="20"/>
      <c r="F938" s="21"/>
      <c r="G938" s="22"/>
      <c r="H938" s="30" t="str">
        <f>CONCATENATE(H937," - ","VÃO")</f>
        <v>WC PCD FEM - VÃO</v>
      </c>
      <c r="I938" s="55"/>
      <c r="J938" s="56">
        <v>-1</v>
      </c>
      <c r="K938" s="57"/>
      <c r="L938" s="57"/>
      <c r="M938" s="57"/>
      <c r="N938" s="38">
        <f>1.29*0.46+2.1*0.9</f>
        <v>2.4834000000000001</v>
      </c>
      <c r="O938" s="58">
        <f t="shared" si="41"/>
        <v>-2.48</v>
      </c>
      <c r="P938" s="185"/>
      <c r="Q938" s="185"/>
    </row>
    <row r="939" spans="1:17" hidden="1" outlineLevel="1">
      <c r="E939" s="20"/>
      <c r="F939" s="21"/>
      <c r="G939" s="22"/>
      <c r="H939" s="105" t="s">
        <v>2879</v>
      </c>
      <c r="I939" s="55"/>
      <c r="J939" s="56"/>
      <c r="K939" s="57">
        <f>1.59*2+2.06*2</f>
        <v>7.3000000000000007</v>
      </c>
      <c r="L939" s="57"/>
      <c r="M939" s="57">
        <v>2.82</v>
      </c>
      <c r="N939" s="38"/>
      <c r="O939" s="58">
        <f t="shared" si="41"/>
        <v>20.59</v>
      </c>
      <c r="P939" s="185"/>
      <c r="Q939" s="185"/>
    </row>
    <row r="940" spans="1:17" hidden="1" outlineLevel="1">
      <c r="E940" s="20"/>
      <c r="F940" s="21"/>
      <c r="G940" s="22"/>
      <c r="H940" s="30" t="str">
        <f>CONCATENATE(H939," - ","VÃO")</f>
        <v>WC PCD MAS - VÃO</v>
      </c>
      <c r="I940" s="55"/>
      <c r="J940" s="56">
        <v>-1</v>
      </c>
      <c r="K940" s="57"/>
      <c r="L940" s="57"/>
      <c r="M940" s="57"/>
      <c r="N940" s="38">
        <f>1.29*0.46+2.1*0.9</f>
        <v>2.4834000000000001</v>
      </c>
      <c r="O940" s="58">
        <f t="shared" si="41"/>
        <v>-2.48</v>
      </c>
      <c r="P940" s="185"/>
      <c r="Q940" s="185"/>
    </row>
    <row r="941" spans="1:17" hidden="1" outlineLevel="1">
      <c r="E941" s="20"/>
      <c r="F941" s="21"/>
      <c r="G941" s="22"/>
      <c r="H941" s="105" t="s">
        <v>2880</v>
      </c>
      <c r="I941" s="55"/>
      <c r="J941" s="56"/>
      <c r="K941" s="57">
        <v>14.24</v>
      </c>
      <c r="L941" s="57"/>
      <c r="M941" s="57">
        <v>2.82</v>
      </c>
      <c r="N941" s="38"/>
      <c r="O941" s="58">
        <f t="shared" si="41"/>
        <v>40.159999999999997</v>
      </c>
      <c r="P941" s="185"/>
      <c r="Q941" s="185"/>
    </row>
    <row r="942" spans="1:17" hidden="1" outlineLevel="1">
      <c r="E942" s="20"/>
      <c r="F942" s="21"/>
      <c r="G942" s="22"/>
      <c r="H942" s="30" t="str">
        <f>CONCATENATE(H941," - ","VÃO")</f>
        <v>COPA - VÃO</v>
      </c>
      <c r="I942" s="55"/>
      <c r="J942" s="56">
        <v>-1</v>
      </c>
      <c r="K942" s="57"/>
      <c r="L942" s="57"/>
      <c r="M942" s="57"/>
      <c r="N942" s="38">
        <f>0.9*2.1+3.81*0.46</f>
        <v>3.6426000000000003</v>
      </c>
      <c r="O942" s="58">
        <f t="shared" si="41"/>
        <v>-3.64</v>
      </c>
      <c r="P942" s="185"/>
      <c r="Q942" s="185"/>
    </row>
    <row r="943" spans="1:17" hidden="1" outlineLevel="1">
      <c r="E943" s="20"/>
      <c r="F943" s="21"/>
      <c r="G943" s="22"/>
      <c r="H943" s="105" t="s">
        <v>3086</v>
      </c>
      <c r="I943" s="55"/>
      <c r="J943" s="56"/>
      <c r="K943" s="57">
        <f>8.7*2</f>
        <v>17.399999999999999</v>
      </c>
      <c r="L943" s="57"/>
      <c r="M943" s="57">
        <v>2.82</v>
      </c>
      <c r="N943" s="38"/>
      <c r="O943" s="58">
        <f t="shared" si="41"/>
        <v>49.07</v>
      </c>
      <c r="P943" s="185"/>
      <c r="Q943" s="185"/>
    </row>
    <row r="944" spans="1:17" hidden="1" outlineLevel="1">
      <c r="E944" s="20"/>
      <c r="F944" s="21"/>
      <c r="G944" s="22"/>
      <c r="H944" s="30" t="str">
        <f>CONCATENATE(H943," - ","VÃO")</f>
        <v>WC DIR / BWC FUNC. - VÃO</v>
      </c>
      <c r="I944" s="55"/>
      <c r="J944" s="56">
        <v>-1</v>
      </c>
      <c r="K944" s="57"/>
      <c r="L944" s="57"/>
      <c r="M944" s="57"/>
      <c r="N944" s="38">
        <f>0.9*2.1+0.66*0.46</f>
        <v>2.1936</v>
      </c>
      <c r="O944" s="58">
        <f t="shared" si="41"/>
        <v>-2.19</v>
      </c>
      <c r="P944" s="185"/>
      <c r="Q944" s="185"/>
    </row>
    <row r="945" spans="5:17" hidden="1" outlineLevel="1">
      <c r="E945" s="20"/>
      <c r="F945" s="21"/>
      <c r="G945" s="22"/>
      <c r="H945" s="105" t="s">
        <v>2889</v>
      </c>
      <c r="I945" s="55"/>
      <c r="J945" s="56"/>
      <c r="K945" s="57">
        <v>9.92</v>
      </c>
      <c r="L945" s="57"/>
      <c r="M945" s="57">
        <v>2.82</v>
      </c>
      <c r="N945" s="38"/>
      <c r="O945" s="58">
        <f t="shared" si="41"/>
        <v>27.97</v>
      </c>
      <c r="P945" s="185"/>
      <c r="Q945" s="185"/>
    </row>
    <row r="946" spans="5:17" hidden="1" outlineLevel="1">
      <c r="E946" s="20"/>
      <c r="F946" s="21"/>
      <c r="G946" s="22"/>
      <c r="H946" s="30" t="str">
        <f>CONCATENATE(H945," - ","VÃO")</f>
        <v>DEPÓSITO/DML 1 - VÃO</v>
      </c>
      <c r="I946" s="55"/>
      <c r="J946" s="56">
        <v>-1</v>
      </c>
      <c r="K946" s="57"/>
      <c r="L946" s="57"/>
      <c r="M946" s="57"/>
      <c r="N946" s="110">
        <f>0.9*2.1+1.5*0.9</f>
        <v>3.24</v>
      </c>
      <c r="O946" s="58">
        <f t="shared" si="41"/>
        <v>-3.24</v>
      </c>
      <c r="P946" s="185"/>
      <c r="Q946" s="185"/>
    </row>
    <row r="947" spans="5:17" hidden="1" outlineLevel="1">
      <c r="E947" s="20"/>
      <c r="F947" s="21"/>
      <c r="G947" s="22"/>
      <c r="H947" s="105" t="s">
        <v>2892</v>
      </c>
      <c r="I947" s="55"/>
      <c r="J947" s="56"/>
      <c r="K947" s="57">
        <v>9.92</v>
      </c>
      <c r="L947" s="57"/>
      <c r="M947" s="57">
        <v>2.82</v>
      </c>
      <c r="N947" s="38"/>
      <c r="O947" s="58">
        <f t="shared" si="41"/>
        <v>27.97</v>
      </c>
      <c r="P947" s="185"/>
      <c r="Q947" s="185"/>
    </row>
    <row r="948" spans="5:17" hidden="1" outlineLevel="1">
      <c r="E948" s="20"/>
      <c r="F948" s="21"/>
      <c r="G948" s="22"/>
      <c r="H948" s="30" t="str">
        <f>CONCATENATE(H947," - ","VÃO")</f>
        <v>DEPÓSITO/DML 2 - VÃO</v>
      </c>
      <c r="I948" s="55"/>
      <c r="J948" s="56">
        <v>-1</v>
      </c>
      <c r="K948" s="57"/>
      <c r="L948" s="57"/>
      <c r="M948" s="57"/>
      <c r="N948" s="38">
        <f>1.8*2.7+0.9*2.1</f>
        <v>6.75</v>
      </c>
      <c r="O948" s="58">
        <f t="shared" si="41"/>
        <v>-6.75</v>
      </c>
      <c r="P948" s="185"/>
      <c r="Q948" s="185"/>
    </row>
    <row r="949" spans="5:17" hidden="1" outlineLevel="1">
      <c r="E949" s="20"/>
      <c r="F949" s="21"/>
      <c r="G949" s="22"/>
      <c r="H949" s="30" t="s">
        <v>2902</v>
      </c>
      <c r="I949" s="55"/>
      <c r="J949" s="56"/>
      <c r="K949" s="57">
        <v>7.1</v>
      </c>
      <c r="L949" s="57"/>
      <c r="M949" s="57">
        <v>2.82</v>
      </c>
      <c r="N949" s="38"/>
      <c r="O949" s="58">
        <f t="shared" si="41"/>
        <v>20.02</v>
      </c>
      <c r="P949" s="185"/>
      <c r="Q949" s="185"/>
    </row>
    <row r="950" spans="5:17" hidden="1" outlineLevel="1">
      <c r="E950" s="20"/>
      <c r="F950" s="21"/>
      <c r="G950" s="22"/>
      <c r="H950" s="30" t="str">
        <f>CONCATENATE(H949," - ","VÃO")</f>
        <v>WC PCD FEM. - VÃO</v>
      </c>
      <c r="I950" s="55"/>
      <c r="J950" s="56">
        <v>-1</v>
      </c>
      <c r="K950" s="57"/>
      <c r="L950" s="57"/>
      <c r="M950" s="57"/>
      <c r="N950" s="111">
        <f>0.9*2.1+1.29*0.46</f>
        <v>2.4834000000000001</v>
      </c>
      <c r="O950" s="58">
        <f t="shared" ref="O950:O977" si="42">ROUND(PRODUCT(J950:N950),2)</f>
        <v>-2.48</v>
      </c>
      <c r="P950" s="185"/>
      <c r="Q950" s="185"/>
    </row>
    <row r="951" spans="5:17" hidden="1" outlineLevel="1">
      <c r="E951" s="20"/>
      <c r="F951" s="21"/>
      <c r="G951" s="22"/>
      <c r="H951" s="30" t="s">
        <v>2903</v>
      </c>
      <c r="I951" s="55"/>
      <c r="J951" s="56"/>
      <c r="K951" s="57">
        <v>7.1</v>
      </c>
      <c r="L951" s="57"/>
      <c r="M951" s="57">
        <v>2.82</v>
      </c>
      <c r="N951" s="38"/>
      <c r="O951" s="58">
        <f t="shared" si="42"/>
        <v>20.02</v>
      </c>
      <c r="P951" s="185"/>
      <c r="Q951" s="185"/>
    </row>
    <row r="952" spans="5:17" hidden="1" outlineLevel="1">
      <c r="E952" s="20"/>
      <c r="F952" s="21"/>
      <c r="G952" s="22"/>
      <c r="H952" s="30" t="str">
        <f>CONCATENATE(H951," - ","VÃO")</f>
        <v>WC PCD MASC. - VÃO</v>
      </c>
      <c r="I952" s="55"/>
      <c r="J952" s="56">
        <v>-1</v>
      </c>
      <c r="K952" s="57"/>
      <c r="L952" s="57"/>
      <c r="M952" s="57"/>
      <c r="N952" s="111">
        <f>0.9*2.1+1.29*0.46</f>
        <v>2.4834000000000001</v>
      </c>
      <c r="O952" s="58">
        <f t="shared" si="42"/>
        <v>-2.48</v>
      </c>
      <c r="P952" s="185"/>
      <c r="Q952" s="185"/>
    </row>
    <row r="953" spans="5:17" hidden="1" outlineLevel="1">
      <c r="E953" s="20"/>
      <c r="F953" s="21"/>
      <c r="G953" s="22"/>
      <c r="H953" s="30" t="s">
        <v>2904</v>
      </c>
      <c r="I953" s="55"/>
      <c r="J953" s="56"/>
      <c r="K953" s="57">
        <v>17.12</v>
      </c>
      <c r="L953" s="57"/>
      <c r="M953" s="57">
        <v>2.82</v>
      </c>
      <c r="N953" s="38"/>
      <c r="O953" s="58">
        <f t="shared" si="42"/>
        <v>48.28</v>
      </c>
      <c r="P953" s="185"/>
      <c r="Q953" s="185"/>
    </row>
    <row r="954" spans="5:17" hidden="1" outlineLevel="1">
      <c r="E954" s="20"/>
      <c r="F954" s="21"/>
      <c r="G954" s="22"/>
      <c r="H954" s="30" t="str">
        <f>CONCATENATE(H953," - ","VÃO")</f>
        <v>SANIT. FEM - VÃO</v>
      </c>
      <c r="I954" s="55"/>
      <c r="J954" s="56">
        <v>-1</v>
      </c>
      <c r="K954" s="57"/>
      <c r="L954" s="57"/>
      <c r="M954" s="57"/>
      <c r="N954" s="111">
        <f>0.9*2.1+3.15*0.66</f>
        <v>3.9690000000000003</v>
      </c>
      <c r="O954" s="58">
        <f t="shared" si="42"/>
        <v>-3.97</v>
      </c>
      <c r="P954" s="185"/>
      <c r="Q954" s="185"/>
    </row>
    <row r="955" spans="5:17" hidden="1" outlineLevel="1">
      <c r="E955" s="20"/>
      <c r="F955" s="21"/>
      <c r="G955" s="22"/>
      <c r="H955" s="30" t="s">
        <v>2905</v>
      </c>
      <c r="I955" s="55"/>
      <c r="J955" s="56"/>
      <c r="K955" s="57">
        <v>17.12</v>
      </c>
      <c r="L955" s="57"/>
      <c r="M955" s="57">
        <v>2.82</v>
      </c>
      <c r="N955" s="38"/>
      <c r="O955" s="58">
        <f t="shared" si="42"/>
        <v>48.28</v>
      </c>
      <c r="P955" s="185"/>
      <c r="Q955" s="185"/>
    </row>
    <row r="956" spans="5:17" hidden="1" outlineLevel="1">
      <c r="E956" s="20"/>
      <c r="F956" s="21"/>
      <c r="G956" s="22"/>
      <c r="H956" s="30" t="str">
        <f>CONCATENATE(H955," - ","VÃO")</f>
        <v>SANIT. MASC - VÃO</v>
      </c>
      <c r="I956" s="55"/>
      <c r="J956" s="56">
        <v>-1</v>
      </c>
      <c r="K956" s="57"/>
      <c r="L956" s="57"/>
      <c r="M956" s="57"/>
      <c r="N956" s="111">
        <f>0.9*2.1+3.15*0.66</f>
        <v>3.9690000000000003</v>
      </c>
      <c r="O956" s="58">
        <f t="shared" si="42"/>
        <v>-3.97</v>
      </c>
      <c r="P956" s="185"/>
      <c r="Q956" s="185"/>
    </row>
    <row r="957" spans="5:17" hidden="1" outlineLevel="1">
      <c r="E957" s="20"/>
      <c r="F957" s="21"/>
      <c r="G957" s="22"/>
      <c r="H957" s="105" t="s">
        <v>2893</v>
      </c>
      <c r="I957" s="55"/>
      <c r="J957" s="56"/>
      <c r="K957" s="57">
        <f>(4.95+1.6)*2</f>
        <v>13.100000000000001</v>
      </c>
      <c r="L957" s="57"/>
      <c r="M957" s="57">
        <v>2.8</v>
      </c>
      <c r="N957" s="38"/>
      <c r="O957" s="58">
        <f t="shared" ref="O957:O968" si="43">ROUND(PRODUCT(J957:N957),2)</f>
        <v>36.68</v>
      </c>
      <c r="P957" s="185"/>
      <c r="Q957" s="185"/>
    </row>
    <row r="958" spans="5:17" hidden="1" outlineLevel="1">
      <c r="E958" s="20"/>
      <c r="F958" s="21"/>
      <c r="G958" s="22"/>
      <c r="H958" s="30" t="str">
        <f>CONCATENATE(H957," - ","VÃO")</f>
        <v>ALMOXARIFADO - VÃO</v>
      </c>
      <c r="I958" s="55"/>
      <c r="J958" s="56">
        <v>-1</v>
      </c>
      <c r="K958" s="57"/>
      <c r="L958" s="57"/>
      <c r="M958" s="57"/>
      <c r="N958" s="110">
        <f>1.5*0.9+1.8*3+0.9*2.1</f>
        <v>8.64</v>
      </c>
      <c r="O958" s="58">
        <f t="shared" si="43"/>
        <v>-8.64</v>
      </c>
      <c r="P958" s="185"/>
      <c r="Q958" s="185"/>
    </row>
    <row r="959" spans="5:17" hidden="1" outlineLevel="1">
      <c r="E959" s="20"/>
      <c r="F959" s="21"/>
      <c r="G959" s="22"/>
      <c r="H959" s="105" t="s">
        <v>2887</v>
      </c>
      <c r="I959" s="55"/>
      <c r="J959" s="56"/>
      <c r="K959" s="57">
        <f>2*(2.35+6.85)</f>
        <v>18.399999999999999</v>
      </c>
      <c r="L959" s="57"/>
      <c r="M959" s="57">
        <v>2.8</v>
      </c>
      <c r="N959" s="38"/>
      <c r="O959" s="58">
        <f t="shared" si="43"/>
        <v>51.52</v>
      </c>
      <c r="P959" s="185"/>
      <c r="Q959" s="185"/>
    </row>
    <row r="960" spans="5:17" hidden="1" outlineLevel="1">
      <c r="E960" s="20"/>
      <c r="F960" s="21"/>
      <c r="G960" s="22"/>
      <c r="H960" s="30" t="str">
        <f>CONCATENATE(H959," - ","VÃO")</f>
        <v>ALMOXARIFADO INFORMÁTICA - VÃO</v>
      </c>
      <c r="I960" s="55"/>
      <c r="J960" s="56">
        <v>-1</v>
      </c>
      <c r="K960" s="57"/>
      <c r="L960" s="57"/>
      <c r="M960" s="57"/>
      <c r="N960" s="38">
        <f>0.66*1.92+0.46*1.92+0.9*2.1</f>
        <v>4.0404</v>
      </c>
      <c r="O960" s="58">
        <f t="shared" si="43"/>
        <v>-4.04</v>
      </c>
      <c r="P960" s="185"/>
      <c r="Q960" s="185"/>
    </row>
    <row r="961" spans="5:17" hidden="1" outlineLevel="1">
      <c r="E961" s="20"/>
      <c r="F961" s="21"/>
      <c r="G961" s="22"/>
      <c r="H961" s="105" t="s">
        <v>2896</v>
      </c>
      <c r="I961" s="55"/>
      <c r="J961" s="56"/>
      <c r="K961" s="57">
        <f>(4.35+4.02)*2</f>
        <v>16.739999999999998</v>
      </c>
      <c r="L961" s="57"/>
      <c r="M961" s="57">
        <v>2.8</v>
      </c>
      <c r="N961" s="38"/>
      <c r="O961" s="58">
        <f t="shared" si="43"/>
        <v>46.87</v>
      </c>
      <c r="P961" s="185"/>
      <c r="Q961" s="185"/>
    </row>
    <row r="962" spans="5:17" hidden="1" outlineLevel="1">
      <c r="E962" s="20"/>
      <c r="F962" s="21"/>
      <c r="G962" s="22"/>
      <c r="H962" s="30" t="str">
        <f>CONCATENATE(H961," - ","VÃO")</f>
        <v>ALMOX. LABORATÓRIOS QUIM/BIO - VÃO</v>
      </c>
      <c r="I962" s="55"/>
      <c r="J962" s="56">
        <v>-1</v>
      </c>
      <c r="K962" s="57"/>
      <c r="L962" s="57"/>
      <c r="M962" s="57"/>
      <c r="N962" s="111">
        <f>2*0.9*2.1+3.81*0.46</f>
        <v>5.5326000000000004</v>
      </c>
      <c r="O962" s="58">
        <f t="shared" si="43"/>
        <v>-5.53</v>
      </c>
      <c r="P962" s="185"/>
      <c r="Q962" s="185"/>
    </row>
    <row r="963" spans="5:17" hidden="1" outlineLevel="1">
      <c r="E963" s="20"/>
      <c r="F963" s="21"/>
      <c r="G963" s="22"/>
      <c r="H963" s="105" t="s">
        <v>3030</v>
      </c>
      <c r="I963" s="55"/>
      <c r="J963" s="56"/>
      <c r="K963" s="57">
        <v>13.36</v>
      </c>
      <c r="L963" s="57"/>
      <c r="M963" s="57">
        <v>2.8</v>
      </c>
      <c r="N963" s="38"/>
      <c r="O963" s="58">
        <f>ROUND(PRODUCT(J963:N963),2)</f>
        <v>37.409999999999997</v>
      </c>
      <c r="P963" s="185"/>
      <c r="Q963" s="185"/>
    </row>
    <row r="964" spans="5:17" hidden="1" outlineLevel="1">
      <c r="E964" s="20"/>
      <c r="F964" s="21"/>
      <c r="G964" s="22"/>
      <c r="H964" s="30" t="str">
        <f>CONCATENATE(H963," - ","VÃO")</f>
        <v>DEPOSITO - VÃO</v>
      </c>
      <c r="I964" s="55"/>
      <c r="J964" s="56">
        <v>-1</v>
      </c>
      <c r="K964" s="57"/>
      <c r="L964" s="57"/>
      <c r="M964" s="57"/>
      <c r="N964" s="111">
        <f>2*0.9*2.1+3.81*0.46</f>
        <v>5.5326000000000004</v>
      </c>
      <c r="O964" s="58">
        <f>ROUND(PRODUCT(J964:N964),2)</f>
        <v>-5.53</v>
      </c>
      <c r="P964" s="185"/>
      <c r="Q964" s="185"/>
    </row>
    <row r="965" spans="5:17" hidden="1" outlineLevel="1">
      <c r="E965" s="20"/>
      <c r="F965" s="21"/>
      <c r="G965" s="22"/>
      <c r="H965" s="105" t="s">
        <v>3087</v>
      </c>
      <c r="I965" s="55"/>
      <c r="J965" s="56"/>
      <c r="K965" s="57">
        <v>14.05</v>
      </c>
      <c r="L965" s="57"/>
      <c r="M965" s="57">
        <v>2.8</v>
      </c>
      <c r="N965" s="38"/>
      <c r="O965" s="58">
        <f>ROUND(PRODUCT(J965:N965),2)</f>
        <v>39.340000000000003</v>
      </c>
      <c r="P965" s="185"/>
      <c r="Q965" s="185"/>
    </row>
    <row r="966" spans="5:17" hidden="1" outlineLevel="1">
      <c r="E966" s="20"/>
      <c r="F966" s="21"/>
      <c r="G966" s="22"/>
      <c r="H966" s="30" t="str">
        <f>CONCATENATE(H965," - ","VÃO")</f>
        <v>DEP. MAT. MULTIMIDIA - VÃO</v>
      </c>
      <c r="I966" s="55"/>
      <c r="J966" s="56">
        <v>-1</v>
      </c>
      <c r="K966" s="57"/>
      <c r="L966" s="57"/>
      <c r="M966" s="57"/>
      <c r="N966" s="111">
        <f>2*0.9*2.1+3.81*0.46</f>
        <v>5.5326000000000004</v>
      </c>
      <c r="O966" s="58">
        <f>ROUND(PRODUCT(J966:N966),2)</f>
        <v>-5.53</v>
      </c>
      <c r="P966" s="185"/>
      <c r="Q966" s="185"/>
    </row>
    <row r="967" spans="5:17" hidden="1" outlineLevel="1">
      <c r="E967" s="20"/>
      <c r="F967" s="21"/>
      <c r="G967" s="22"/>
      <c r="H967" s="105" t="s">
        <v>2900</v>
      </c>
      <c r="I967" s="55"/>
      <c r="J967" s="56"/>
      <c r="K967" s="57">
        <v>16.75</v>
      </c>
      <c r="L967" s="57"/>
      <c r="M967" s="57">
        <v>2.8</v>
      </c>
      <c r="N967" s="38"/>
      <c r="O967" s="58">
        <f t="shared" si="43"/>
        <v>46.9</v>
      </c>
      <c r="P967" s="185"/>
      <c r="Q967" s="185"/>
    </row>
    <row r="968" spans="5:17" hidden="1" outlineLevel="1">
      <c r="E968" s="20"/>
      <c r="F968" s="21"/>
      <c r="G968" s="22"/>
      <c r="H968" s="30" t="str">
        <f>CONCATENATE(H967," - ","VÃO")</f>
        <v>ALMOXARIFADO LABORATÓRIOS FÍS/MAT - VÃO</v>
      </c>
      <c r="I968" s="55"/>
      <c r="J968" s="56">
        <v>-1</v>
      </c>
      <c r="K968" s="57"/>
      <c r="L968" s="57"/>
      <c r="M968" s="57"/>
      <c r="N968" s="62">
        <f>0.9*2.1+3.81*0.46</f>
        <v>3.6426000000000003</v>
      </c>
      <c r="O968" s="58">
        <f t="shared" si="43"/>
        <v>-3.64</v>
      </c>
      <c r="P968" s="185"/>
      <c r="Q968" s="185"/>
    </row>
    <row r="969" spans="5:17" hidden="1" outlineLevel="1">
      <c r="E969" s="20"/>
      <c r="F969" s="21"/>
      <c r="G969" s="22"/>
      <c r="H969" s="24" t="s">
        <v>2910</v>
      </c>
      <c r="I969" s="24"/>
      <c r="J969" s="25"/>
      <c r="K969" s="10"/>
      <c r="L969" s="32"/>
      <c r="M969" s="10"/>
      <c r="N969" s="38"/>
      <c r="O969" s="31">
        <f t="shared" si="42"/>
        <v>0</v>
      </c>
      <c r="P969" s="185"/>
      <c r="Q969" s="185"/>
    </row>
    <row r="970" spans="5:17" hidden="1" outlineLevel="1">
      <c r="E970" s="20"/>
      <c r="F970" s="21"/>
      <c r="G970" s="22"/>
      <c r="H970" s="30" t="s">
        <v>2923</v>
      </c>
      <c r="I970" s="55"/>
      <c r="J970" s="56"/>
      <c r="K970" s="57">
        <f>6.85+2.06+1.3+1.29+5.55+3.35</f>
        <v>20.400000000000002</v>
      </c>
      <c r="L970" s="57"/>
      <c r="M970" s="57">
        <v>2.82</v>
      </c>
      <c r="N970" s="38"/>
      <c r="O970" s="58">
        <f t="shared" si="42"/>
        <v>57.53</v>
      </c>
      <c r="P970" s="185"/>
      <c r="Q970" s="185"/>
    </row>
    <row r="971" spans="5:17" hidden="1" outlineLevel="1">
      <c r="E971" s="20"/>
      <c r="F971" s="21"/>
      <c r="G971" s="22"/>
      <c r="H971" s="30" t="str">
        <f>CONCATENATE(H970," - ","VÃO")</f>
        <v>SANIT. FEMININO - VÃO</v>
      </c>
      <c r="I971" s="55"/>
      <c r="J971" s="56">
        <v>-1</v>
      </c>
      <c r="K971" s="57"/>
      <c r="L971" s="57"/>
      <c r="M971" s="57"/>
      <c r="N971" s="38">
        <f>N954</f>
        <v>3.9690000000000003</v>
      </c>
      <c r="O971" s="58">
        <f t="shared" si="42"/>
        <v>-3.97</v>
      </c>
      <c r="P971" s="185"/>
      <c r="Q971" s="185"/>
    </row>
    <row r="972" spans="5:17" hidden="1" outlineLevel="1">
      <c r="E972" s="20"/>
      <c r="F972" s="21"/>
      <c r="G972" s="22"/>
      <c r="H972" s="30" t="s">
        <v>2924</v>
      </c>
      <c r="I972" s="55"/>
      <c r="J972" s="56"/>
      <c r="K972" s="57">
        <f>5.55+3.35+6.85+2.06+1.3+1.29</f>
        <v>20.399999999999999</v>
      </c>
      <c r="L972" s="57"/>
      <c r="M972" s="57">
        <v>2.82</v>
      </c>
      <c r="N972" s="38"/>
      <c r="O972" s="58">
        <f t="shared" si="42"/>
        <v>57.53</v>
      </c>
      <c r="P972" s="185"/>
      <c r="Q972" s="185"/>
    </row>
    <row r="973" spans="5:17" hidden="1" outlineLevel="1">
      <c r="E973" s="20"/>
      <c r="F973" s="21"/>
      <c r="G973" s="22"/>
      <c r="H973" s="30" t="str">
        <f>CONCATENATE(H972," - ","VÃO")</f>
        <v>SANIT. MASCULINO - VÃO</v>
      </c>
      <c r="I973" s="55"/>
      <c r="J973" s="56">
        <v>-1</v>
      </c>
      <c r="K973" s="57"/>
      <c r="L973" s="57"/>
      <c r="M973" s="57"/>
      <c r="N973" s="38">
        <f>(3.15*0.66)+(0.9*2.1)</f>
        <v>3.9690000000000003</v>
      </c>
      <c r="O973" s="58">
        <f t="shared" si="42"/>
        <v>-3.97</v>
      </c>
      <c r="P973" s="185"/>
      <c r="Q973" s="185"/>
    </row>
    <row r="974" spans="5:17" hidden="1" outlineLevel="1">
      <c r="E974" s="20"/>
      <c r="F974" s="21"/>
      <c r="G974" s="22"/>
      <c r="H974" s="30" t="s">
        <v>2925</v>
      </c>
      <c r="I974" s="55"/>
      <c r="J974" s="56"/>
      <c r="K974" s="57">
        <f>2*(1.85+2.06)</f>
        <v>7.82</v>
      </c>
      <c r="L974" s="57"/>
      <c r="M974" s="57">
        <v>2.82</v>
      </c>
      <c r="N974" s="38"/>
      <c r="O974" s="58">
        <f t="shared" si="42"/>
        <v>22.05</v>
      </c>
      <c r="P974" s="185"/>
      <c r="Q974" s="185"/>
    </row>
    <row r="975" spans="5:17" hidden="1" outlineLevel="1">
      <c r="E975" s="20"/>
      <c r="F975" s="21"/>
      <c r="G975" s="22"/>
      <c r="H975" s="30" t="str">
        <f>CONCATENATE(H974," - ","VÃO")</f>
        <v>WC PCD MASC - VÃO</v>
      </c>
      <c r="I975" s="55"/>
      <c r="J975" s="56">
        <v>-1</v>
      </c>
      <c r="K975" s="57"/>
      <c r="L975" s="57"/>
      <c r="M975" s="57"/>
      <c r="N975" s="38">
        <f>(1.29*0.46)+(0.9*2.1)</f>
        <v>2.4834000000000001</v>
      </c>
      <c r="O975" s="58">
        <f t="shared" si="42"/>
        <v>-2.48</v>
      </c>
      <c r="P975" s="185"/>
      <c r="Q975" s="185"/>
    </row>
    <row r="976" spans="5:17" hidden="1" outlineLevel="1">
      <c r="E976" s="20"/>
      <c r="F976" s="21"/>
      <c r="G976" s="22"/>
      <c r="H976" s="30" t="s">
        <v>2878</v>
      </c>
      <c r="I976" s="55"/>
      <c r="J976" s="56"/>
      <c r="K976" s="57">
        <v>7.9</v>
      </c>
      <c r="L976" s="57"/>
      <c r="M976" s="57">
        <v>2.82</v>
      </c>
      <c r="N976" s="38"/>
      <c r="O976" s="58">
        <f t="shared" si="42"/>
        <v>22.28</v>
      </c>
      <c r="P976" s="185"/>
      <c r="Q976" s="185"/>
    </row>
    <row r="977" spans="1:17" hidden="1" outlineLevel="1">
      <c r="E977" s="20"/>
      <c r="F977" s="21"/>
      <c r="G977" s="22"/>
      <c r="H977" s="30" t="str">
        <f>CONCATENATE(H976," - ","VÃO")</f>
        <v>WC PCD FEM - VÃO</v>
      </c>
      <c r="I977" s="55"/>
      <c r="J977" s="56">
        <v>-1</v>
      </c>
      <c r="K977" s="57"/>
      <c r="L977" s="57"/>
      <c r="M977" s="57"/>
      <c r="N977" s="38">
        <f>0.9*2.1+1.5*0.9+1.8*2.7</f>
        <v>8.1000000000000014</v>
      </c>
      <c r="O977" s="58">
        <f t="shared" si="42"/>
        <v>-8.1</v>
      </c>
      <c r="P977" s="185"/>
      <c r="Q977" s="185"/>
    </row>
    <row r="978" spans="1:17" hidden="1" outlineLevel="1">
      <c r="E978" s="20"/>
      <c r="F978" s="21"/>
      <c r="G978" s="22"/>
      <c r="H978" s="30"/>
      <c r="I978" s="55"/>
      <c r="J978" s="56"/>
      <c r="K978" s="57"/>
      <c r="L978" s="57"/>
      <c r="M978" s="57"/>
      <c r="N978" s="38"/>
      <c r="O978" s="83"/>
      <c r="P978" s="185"/>
      <c r="Q978" s="185"/>
    </row>
    <row r="979" spans="1:17" hidden="1" outlineLevel="1">
      <c r="A979" s="2">
        <v>5</v>
      </c>
      <c r="B979" s="2">
        <v>7</v>
      </c>
      <c r="C979" s="2">
        <f>1+C952</f>
        <v>1</v>
      </c>
      <c r="E979" s="20" t="str">
        <f>CONCATENATE(A979,".",B979,".",C979)</f>
        <v>5.7.1</v>
      </c>
      <c r="F979" s="21" t="s">
        <v>3088</v>
      </c>
      <c r="G979" s="22">
        <v>2249</v>
      </c>
      <c r="H979" s="23" t="s">
        <v>275</v>
      </c>
      <c r="I979" s="24" t="s">
        <v>45</v>
      </c>
      <c r="J979" s="32"/>
      <c r="K979" s="10"/>
      <c r="L979" s="32"/>
      <c r="M979" s="63"/>
      <c r="N979" s="33"/>
      <c r="O979" s="11">
        <f>SUM(O980:O1061)</f>
        <v>26.309999999999953</v>
      </c>
      <c r="P979" s="185"/>
      <c r="Q979" s="185"/>
    </row>
    <row r="980" spans="1:17" hidden="1" outlineLevel="1">
      <c r="E980" s="20"/>
      <c r="F980" s="21"/>
      <c r="G980" s="22"/>
      <c r="H980" s="24" t="s">
        <v>2873</v>
      </c>
      <c r="I980" s="24"/>
      <c r="J980" s="25"/>
      <c r="K980" s="10"/>
      <c r="L980" s="32"/>
      <c r="M980" s="10"/>
      <c r="N980" s="38"/>
      <c r="O980" s="31">
        <f t="shared" ref="O980:O1011" si="44">ROUND(PRODUCT(J980:N980),2)</f>
        <v>0</v>
      </c>
      <c r="P980" s="185"/>
      <c r="Q980" s="185"/>
    </row>
    <row r="981" spans="1:17" hidden="1" outlineLevel="1">
      <c r="E981" s="20"/>
      <c r="F981" s="21"/>
      <c r="G981" s="22"/>
      <c r="H981" s="105" t="s">
        <v>3089</v>
      </c>
      <c r="I981" s="55"/>
      <c r="J981" s="56"/>
      <c r="K981" s="57">
        <f>(52.15)*2</f>
        <v>104.3</v>
      </c>
      <c r="L981" s="57"/>
      <c r="M981" s="57">
        <v>1.1000000000000001</v>
      </c>
      <c r="N981" s="38"/>
      <c r="O981" s="58">
        <f t="shared" si="44"/>
        <v>114.73</v>
      </c>
      <c r="P981" s="185"/>
      <c r="Q981" s="185"/>
    </row>
    <row r="982" spans="1:17" hidden="1" outlineLevel="1">
      <c r="E982" s="20"/>
      <c r="F982" s="21"/>
      <c r="G982" s="22"/>
      <c r="H982" s="30" t="str">
        <f>CONCATENATE(H981," - ","VÃO")</f>
        <v>CIRCULAÇÃO EXTERNA CAMBURI WHITE - VÃO</v>
      </c>
      <c r="I982" s="55"/>
      <c r="J982" s="56">
        <v>-1</v>
      </c>
      <c r="K982" s="57"/>
      <c r="L982" s="57"/>
      <c r="M982" s="57"/>
      <c r="N982" s="38">
        <v>58.23</v>
      </c>
      <c r="O982" s="58">
        <f t="shared" si="44"/>
        <v>-58.23</v>
      </c>
      <c r="P982" s="185"/>
      <c r="Q982" s="185"/>
    </row>
    <row r="983" spans="1:17" hidden="1" outlineLevel="1">
      <c r="E983" s="20"/>
      <c r="F983" s="21"/>
      <c r="G983" s="22"/>
      <c r="H983" s="105" t="s">
        <v>3090</v>
      </c>
      <c r="I983" s="55"/>
      <c r="J983" s="56"/>
      <c r="K983" s="57">
        <f>(52.15)*2</f>
        <v>104.3</v>
      </c>
      <c r="L983" s="57"/>
      <c r="M983" s="57">
        <v>0.1</v>
      </c>
      <c r="N983" s="38"/>
      <c r="O983" s="58">
        <f t="shared" si="44"/>
        <v>10.43</v>
      </c>
      <c r="P983" s="185"/>
      <c r="Q983" s="185"/>
    </row>
    <row r="984" spans="1:17" hidden="1" outlineLevel="1">
      <c r="E984" s="20"/>
      <c r="F984" s="21"/>
      <c r="G984" s="22"/>
      <c r="H984" s="30" t="str">
        <f>CONCATENATE(H983," - ","VÃO")</f>
        <v>CIRCULAÇÃO EXTERNA AZUL ROYAL - VÃO</v>
      </c>
      <c r="I984" s="55"/>
      <c r="J984" s="56">
        <v>-1</v>
      </c>
      <c r="K984" s="57"/>
      <c r="L984" s="57"/>
      <c r="M984" s="57"/>
      <c r="N984" s="38">
        <v>58.23</v>
      </c>
      <c r="O984" s="58">
        <f t="shared" si="44"/>
        <v>-58.23</v>
      </c>
      <c r="P984" s="185"/>
      <c r="Q984" s="185"/>
    </row>
    <row r="985" spans="1:17" hidden="1" outlineLevel="1">
      <c r="E985" s="20"/>
      <c r="F985" s="21"/>
      <c r="G985" s="22"/>
      <c r="H985" s="105" t="s">
        <v>3091</v>
      </c>
      <c r="I985" s="55"/>
      <c r="J985" s="56"/>
      <c r="K985" s="57">
        <v>31.4</v>
      </c>
      <c r="L985" s="57"/>
      <c r="M985" s="57">
        <v>1.1000000000000001</v>
      </c>
      <c r="N985" s="38"/>
      <c r="O985" s="58">
        <f t="shared" si="44"/>
        <v>34.54</v>
      </c>
      <c r="P985" s="185"/>
      <c r="Q985" s="185"/>
    </row>
    <row r="986" spans="1:17" hidden="1" outlineLevel="1">
      <c r="E986" s="20"/>
      <c r="F986" s="21"/>
      <c r="G986" s="22"/>
      <c r="H986" s="30" t="str">
        <f>CONCATENATE(H985," - ","VÃO")</f>
        <v>LABORATORIO LINGUAS CAMBURI WHITE - VÃO</v>
      </c>
      <c r="I986" s="55"/>
      <c r="J986" s="56">
        <v>-1</v>
      </c>
      <c r="K986" s="57"/>
      <c r="L986" s="57"/>
      <c r="M986" s="57"/>
      <c r="N986" s="38">
        <v>58.23</v>
      </c>
      <c r="O986" s="58">
        <f t="shared" si="44"/>
        <v>-58.23</v>
      </c>
      <c r="P986" s="185"/>
      <c r="Q986" s="185"/>
    </row>
    <row r="987" spans="1:17" hidden="1" outlineLevel="1">
      <c r="E987" s="20"/>
      <c r="F987" s="21"/>
      <c r="G987" s="22"/>
      <c r="H987" s="105" t="s">
        <v>3092</v>
      </c>
      <c r="I987" s="55"/>
      <c r="J987" s="56"/>
      <c r="K987" s="57">
        <v>31.4</v>
      </c>
      <c r="L987" s="57"/>
      <c r="M987" s="57">
        <v>0.1</v>
      </c>
      <c r="N987" s="38"/>
      <c r="O987" s="58">
        <f t="shared" si="44"/>
        <v>3.14</v>
      </c>
      <c r="P987" s="185"/>
      <c r="Q987" s="185"/>
    </row>
    <row r="988" spans="1:17" hidden="1" outlineLevel="1">
      <c r="E988" s="20"/>
      <c r="F988" s="21"/>
      <c r="G988" s="22"/>
      <c r="H988" s="30" t="str">
        <f>CONCATENATE(H987," - ","VÃO")</f>
        <v>LABORATORIO LINGUAS AZUL ROYAL - VÃO</v>
      </c>
      <c r="I988" s="55"/>
      <c r="J988" s="56">
        <v>-1</v>
      </c>
      <c r="K988" s="57"/>
      <c r="L988" s="57"/>
      <c r="M988" s="57"/>
      <c r="N988" s="38">
        <v>58.23</v>
      </c>
      <c r="O988" s="58">
        <f t="shared" si="44"/>
        <v>-58.23</v>
      </c>
      <c r="P988" s="185"/>
      <c r="Q988" s="185"/>
    </row>
    <row r="989" spans="1:17" hidden="1" outlineLevel="1">
      <c r="E989" s="20"/>
      <c r="F989" s="21"/>
      <c r="G989" s="22"/>
      <c r="H989" s="105" t="s">
        <v>3093</v>
      </c>
      <c r="I989" s="55"/>
      <c r="J989" s="56"/>
      <c r="K989" s="57">
        <v>31.4</v>
      </c>
      <c r="L989" s="57"/>
      <c r="M989" s="57">
        <v>1.1000000000000001</v>
      </c>
      <c r="N989" s="38"/>
      <c r="O989" s="58">
        <f t="shared" si="44"/>
        <v>34.54</v>
      </c>
      <c r="P989" s="185"/>
      <c r="Q989" s="185"/>
    </row>
    <row r="990" spans="1:17" hidden="1" outlineLevel="1">
      <c r="E990" s="20"/>
      <c r="F990" s="21"/>
      <c r="G990" s="22"/>
      <c r="H990" s="30" t="str">
        <f>CONCATENATE(H989," - ","VÃO")</f>
        <v>LABORATORIO INFORMATICA CAMBURI WHITE - VÃO</v>
      </c>
      <c r="I990" s="55"/>
      <c r="J990" s="56">
        <v>-1</v>
      </c>
      <c r="K990" s="57"/>
      <c r="L990" s="57"/>
      <c r="M990" s="57"/>
      <c r="N990" s="38">
        <v>58.23</v>
      </c>
      <c r="O990" s="58">
        <f t="shared" si="44"/>
        <v>-58.23</v>
      </c>
      <c r="P990" s="185"/>
      <c r="Q990" s="185"/>
    </row>
    <row r="991" spans="1:17" hidden="1" outlineLevel="1">
      <c r="E991" s="20"/>
      <c r="F991" s="21"/>
      <c r="G991" s="22"/>
      <c r="H991" s="105" t="s">
        <v>3094</v>
      </c>
      <c r="I991" s="55"/>
      <c r="J991" s="56"/>
      <c r="K991" s="57">
        <v>31.4</v>
      </c>
      <c r="L991" s="57"/>
      <c r="M991" s="57">
        <v>0.1</v>
      </c>
      <c r="N991" s="38"/>
      <c r="O991" s="58">
        <f t="shared" si="44"/>
        <v>3.14</v>
      </c>
      <c r="P991" s="185"/>
      <c r="Q991" s="185"/>
    </row>
    <row r="992" spans="1:17" hidden="1" outlineLevel="1">
      <c r="E992" s="20"/>
      <c r="F992" s="21"/>
      <c r="G992" s="22"/>
      <c r="H992" s="30" t="str">
        <f>CONCATENATE(H991," - ","VÃO")</f>
        <v>LABORATORIO INFORMATICA AZUL ROYAL - VÃO</v>
      </c>
      <c r="I992" s="55"/>
      <c r="J992" s="56">
        <v>-1</v>
      </c>
      <c r="K992" s="57"/>
      <c r="L992" s="57"/>
      <c r="M992" s="57"/>
      <c r="N992" s="38">
        <v>58.23</v>
      </c>
      <c r="O992" s="58">
        <f t="shared" si="44"/>
        <v>-58.23</v>
      </c>
      <c r="P992" s="185"/>
      <c r="Q992" s="185"/>
    </row>
    <row r="993" spans="5:17" hidden="1" outlineLevel="1">
      <c r="E993" s="20"/>
      <c r="F993" s="21"/>
      <c r="G993" s="22"/>
      <c r="H993" s="105" t="s">
        <v>3095</v>
      </c>
      <c r="I993" s="55"/>
      <c r="J993" s="56"/>
      <c r="K993" s="57">
        <f>2*(6.85+8.85)</f>
        <v>31.4</v>
      </c>
      <c r="L993" s="57"/>
      <c r="M993" s="57">
        <v>1.1000000000000001</v>
      </c>
      <c r="N993" s="38"/>
      <c r="O993" s="58">
        <f t="shared" si="44"/>
        <v>34.54</v>
      </c>
      <c r="P993" s="185"/>
      <c r="Q993" s="185"/>
    </row>
    <row r="994" spans="5:17" hidden="1" outlineLevel="1">
      <c r="E994" s="20"/>
      <c r="F994" s="21"/>
      <c r="G994" s="22"/>
      <c r="H994" s="30" t="str">
        <f>CONCATENATE(H993," - ","VÃO")</f>
        <v>LABORATÓRIO QUÍMICA CAMBURI WHITE - VÃO</v>
      </c>
      <c r="I994" s="55"/>
      <c r="J994" s="56">
        <v>-1</v>
      </c>
      <c r="K994" s="57"/>
      <c r="L994" s="57"/>
      <c r="M994" s="57"/>
      <c r="N994" s="111">
        <f>2*(3.81*1.26+3.81*0.46+0.9*2.1)</f>
        <v>16.886400000000002</v>
      </c>
      <c r="O994" s="58">
        <f t="shared" si="44"/>
        <v>-16.89</v>
      </c>
      <c r="P994" s="185"/>
      <c r="Q994" s="185"/>
    </row>
    <row r="995" spans="5:17" hidden="1" outlineLevel="1">
      <c r="E995" s="20"/>
      <c r="F995" s="21"/>
      <c r="G995" s="22"/>
      <c r="H995" s="105" t="s">
        <v>3096</v>
      </c>
      <c r="I995" s="55"/>
      <c r="J995" s="56"/>
      <c r="K995" s="57">
        <f>2*(6.85+8.85)</f>
        <v>31.4</v>
      </c>
      <c r="L995" s="57"/>
      <c r="M995" s="57">
        <v>0.1</v>
      </c>
      <c r="N995" s="38"/>
      <c r="O995" s="58">
        <f t="shared" si="44"/>
        <v>3.14</v>
      </c>
      <c r="P995" s="185"/>
      <c r="Q995" s="185"/>
    </row>
    <row r="996" spans="5:17" hidden="1" outlineLevel="1">
      <c r="E996" s="20"/>
      <c r="F996" s="21"/>
      <c r="G996" s="22"/>
      <c r="H996" s="30" t="str">
        <f>CONCATENATE(H995," - ","VÃO")</f>
        <v>LABORATÓRIO QUÍMICA AZUL ROYAL - VÃO</v>
      </c>
      <c r="I996" s="55"/>
      <c r="J996" s="56">
        <v>-1</v>
      </c>
      <c r="K996" s="57"/>
      <c r="L996" s="57"/>
      <c r="M996" s="57"/>
      <c r="N996" s="111">
        <f>2*(3.81*1.26+3.81*0.46+0.9*2.1)</f>
        <v>16.886400000000002</v>
      </c>
      <c r="O996" s="58">
        <f t="shared" si="44"/>
        <v>-16.89</v>
      </c>
      <c r="P996" s="185"/>
      <c r="Q996" s="185"/>
    </row>
    <row r="997" spans="5:17" hidden="1" outlineLevel="1">
      <c r="E997" s="20"/>
      <c r="F997" s="21"/>
      <c r="G997" s="22"/>
      <c r="H997" s="105" t="s">
        <v>3097</v>
      </c>
      <c r="I997" s="55"/>
      <c r="J997" s="56"/>
      <c r="K997" s="57">
        <f>K993</f>
        <v>31.4</v>
      </c>
      <c r="L997" s="57"/>
      <c r="M997" s="57">
        <v>1.1000000000000001</v>
      </c>
      <c r="N997" s="38"/>
      <c r="O997" s="58">
        <f t="shared" si="44"/>
        <v>34.54</v>
      </c>
      <c r="P997" s="185"/>
      <c r="Q997" s="185"/>
    </row>
    <row r="998" spans="5:17" hidden="1" outlineLevel="1">
      <c r="E998" s="20"/>
      <c r="F998" s="21"/>
      <c r="G998" s="22"/>
      <c r="H998" s="30" t="str">
        <f>CONCATENATE(H997," - ","VÃO")</f>
        <v>LABORATÓRIO BIOLOGIA CAMBURI WHITE - VÃO</v>
      </c>
      <c r="I998" s="55"/>
      <c r="J998" s="56">
        <v>-1</v>
      </c>
      <c r="K998" s="57"/>
      <c r="L998" s="57"/>
      <c r="M998" s="57"/>
      <c r="N998" s="111">
        <f>2*3.81*1.26+2*3.81*0.46+0.9*2.1*2</f>
        <v>16.886400000000002</v>
      </c>
      <c r="O998" s="58">
        <f t="shared" si="44"/>
        <v>-16.89</v>
      </c>
      <c r="P998" s="185"/>
      <c r="Q998" s="185"/>
    </row>
    <row r="999" spans="5:17" hidden="1" outlineLevel="1">
      <c r="E999" s="20"/>
      <c r="F999" s="21"/>
      <c r="G999" s="22"/>
      <c r="H999" s="105" t="s">
        <v>3098</v>
      </c>
      <c r="I999" s="55"/>
      <c r="J999" s="56"/>
      <c r="K999" s="57">
        <f>K995</f>
        <v>31.4</v>
      </c>
      <c r="L999" s="57"/>
      <c r="M999" s="57">
        <v>0.1</v>
      </c>
      <c r="N999" s="38"/>
      <c r="O999" s="58">
        <f t="shared" si="44"/>
        <v>3.14</v>
      </c>
      <c r="P999" s="185"/>
      <c r="Q999" s="185"/>
    </row>
    <row r="1000" spans="5:17" hidden="1" outlineLevel="1">
      <c r="E1000" s="20"/>
      <c r="F1000" s="21"/>
      <c r="G1000" s="22"/>
      <c r="H1000" s="30" t="str">
        <f>CONCATENATE(H999," - ","VÃO")</f>
        <v>LABORATÓRIO BIOLOGIA AZUL ROYAL - VÃO</v>
      </c>
      <c r="I1000" s="55"/>
      <c r="J1000" s="56">
        <v>-1</v>
      </c>
      <c r="K1000" s="57"/>
      <c r="L1000" s="57"/>
      <c r="M1000" s="57"/>
      <c r="N1000" s="111">
        <f>2*3.81*1.26+2*3.81*0.46+0.9*2.1*2</f>
        <v>16.886400000000002</v>
      </c>
      <c r="O1000" s="58">
        <f t="shared" si="44"/>
        <v>-16.89</v>
      </c>
      <c r="P1000" s="185"/>
      <c r="Q1000" s="185"/>
    </row>
    <row r="1001" spans="5:17" hidden="1" outlineLevel="1">
      <c r="E1001" s="20"/>
      <c r="F1001" s="21"/>
      <c r="G1001" s="22"/>
      <c r="H1001" s="105" t="s">
        <v>3099</v>
      </c>
      <c r="I1001" s="55"/>
      <c r="J1001" s="56"/>
      <c r="K1001" s="57">
        <f>K997</f>
        <v>31.4</v>
      </c>
      <c r="L1001" s="57"/>
      <c r="M1001" s="57">
        <v>1.1000000000000001</v>
      </c>
      <c r="N1001" s="38"/>
      <c r="O1001" s="58">
        <f t="shared" si="44"/>
        <v>34.54</v>
      </c>
      <c r="P1001" s="185"/>
      <c r="Q1001" s="185"/>
    </row>
    <row r="1002" spans="5:17" hidden="1" outlineLevel="1">
      <c r="E1002" s="20"/>
      <c r="F1002" s="21"/>
      <c r="G1002" s="22"/>
      <c r="H1002" s="30" t="str">
        <f>CONCATENATE(H1001," - ","VÃO")</f>
        <v>LABORATÓRIO FÍSICA CAMBURI WHITE - VÃO</v>
      </c>
      <c r="I1002" s="55"/>
      <c r="J1002" s="56">
        <v>-1</v>
      </c>
      <c r="K1002" s="57"/>
      <c r="L1002" s="57"/>
      <c r="M1002" s="57"/>
      <c r="N1002" s="111">
        <f>2*3.81*1.26+2*3.81*0.46+0.9*2.1*2</f>
        <v>16.886400000000002</v>
      </c>
      <c r="O1002" s="58">
        <f t="shared" si="44"/>
        <v>-16.89</v>
      </c>
      <c r="P1002" s="185"/>
      <c r="Q1002" s="185"/>
    </row>
    <row r="1003" spans="5:17" hidden="1" outlineLevel="1">
      <c r="E1003" s="20"/>
      <c r="F1003" s="21"/>
      <c r="G1003" s="22"/>
      <c r="H1003" s="105" t="s">
        <v>3100</v>
      </c>
      <c r="I1003" s="55"/>
      <c r="J1003" s="56"/>
      <c r="K1003" s="57">
        <f>K999</f>
        <v>31.4</v>
      </c>
      <c r="L1003" s="57"/>
      <c r="M1003" s="57">
        <v>0.1</v>
      </c>
      <c r="N1003" s="38"/>
      <c r="O1003" s="58">
        <f t="shared" si="44"/>
        <v>3.14</v>
      </c>
      <c r="P1003" s="185"/>
      <c r="Q1003" s="185"/>
    </row>
    <row r="1004" spans="5:17" hidden="1" outlineLevel="1">
      <c r="E1004" s="20"/>
      <c r="F1004" s="21"/>
      <c r="G1004" s="22"/>
      <c r="H1004" s="30" t="str">
        <f>CONCATENATE(H1003," - ","VÃO")</f>
        <v>LABORATÓRIO FÍSICA AZUL ROYAL - VÃO</v>
      </c>
      <c r="I1004" s="55"/>
      <c r="J1004" s="56">
        <v>-1</v>
      </c>
      <c r="K1004" s="57"/>
      <c r="L1004" s="57"/>
      <c r="M1004" s="57"/>
      <c r="N1004" s="111">
        <f>2*3.81*1.26+2*3.81*0.46+0.9*2.1*2</f>
        <v>16.886400000000002</v>
      </c>
      <c r="O1004" s="58">
        <f t="shared" si="44"/>
        <v>-16.89</v>
      </c>
      <c r="P1004" s="185"/>
      <c r="Q1004" s="185"/>
    </row>
    <row r="1005" spans="5:17" hidden="1" outlineLevel="1">
      <c r="E1005" s="20"/>
      <c r="F1005" s="21"/>
      <c r="G1005" s="22"/>
      <c r="H1005" s="30" t="s">
        <v>3101</v>
      </c>
      <c r="I1005" s="55"/>
      <c r="J1005" s="56"/>
      <c r="K1005" s="57">
        <f>K995</f>
        <v>31.4</v>
      </c>
      <c r="L1005" s="57"/>
      <c r="M1005" s="57">
        <v>1.1000000000000001</v>
      </c>
      <c r="N1005" s="38"/>
      <c r="O1005" s="58">
        <f t="shared" si="44"/>
        <v>34.54</v>
      </c>
      <c r="P1005" s="185"/>
      <c r="Q1005" s="185"/>
    </row>
    <row r="1006" spans="5:17" hidden="1" outlineLevel="1">
      <c r="E1006" s="20"/>
      <c r="F1006" s="21"/>
      <c r="G1006" s="22"/>
      <c r="H1006" s="30" t="str">
        <f>CONCATENATE(H1005," - ","VÃO")</f>
        <v>LABORATÓRIO MATEMÁTICA CAMBURI WHITE - VÃO</v>
      </c>
      <c r="I1006" s="55"/>
      <c r="J1006" s="56">
        <v>-1</v>
      </c>
      <c r="K1006" s="57"/>
      <c r="L1006" s="57"/>
      <c r="M1006" s="57"/>
      <c r="N1006" s="62">
        <f>N1000</f>
        <v>16.886400000000002</v>
      </c>
      <c r="O1006" s="58">
        <f t="shared" si="44"/>
        <v>-16.89</v>
      </c>
      <c r="P1006" s="185"/>
      <c r="Q1006" s="185"/>
    </row>
    <row r="1007" spans="5:17" hidden="1" outlineLevel="1">
      <c r="E1007" s="20"/>
      <c r="F1007" s="21"/>
      <c r="G1007" s="22"/>
      <c r="H1007" s="30" t="s">
        <v>3102</v>
      </c>
      <c r="I1007" s="55"/>
      <c r="J1007" s="56"/>
      <c r="K1007" s="57">
        <f>K997</f>
        <v>31.4</v>
      </c>
      <c r="L1007" s="57"/>
      <c r="M1007" s="57">
        <v>0.1</v>
      </c>
      <c r="N1007" s="38"/>
      <c r="O1007" s="58">
        <f t="shared" si="44"/>
        <v>3.14</v>
      </c>
      <c r="P1007" s="185"/>
      <c r="Q1007" s="185"/>
    </row>
    <row r="1008" spans="5:17" hidden="1" outlineLevel="1">
      <c r="E1008" s="20"/>
      <c r="F1008" s="21"/>
      <c r="G1008" s="22"/>
      <c r="H1008" s="30" t="str">
        <f>CONCATENATE(H1007," - ","VÃO")</f>
        <v>LABORATÓRIO MATEMÁTICA AZUL ROYAL - VÃO</v>
      </c>
      <c r="I1008" s="55"/>
      <c r="J1008" s="56">
        <v>-1</v>
      </c>
      <c r="K1008" s="57"/>
      <c r="L1008" s="57"/>
      <c r="M1008" s="57"/>
      <c r="N1008" s="62">
        <f>N1002</f>
        <v>16.886400000000002</v>
      </c>
      <c r="O1008" s="58">
        <f t="shared" si="44"/>
        <v>-16.89</v>
      </c>
      <c r="P1008" s="185"/>
      <c r="Q1008" s="185"/>
    </row>
    <row r="1009" spans="5:17" hidden="1" outlineLevel="1">
      <c r="E1009" s="20"/>
      <c r="F1009" s="21"/>
      <c r="G1009" s="22"/>
      <c r="H1009" s="24" t="s">
        <v>2910</v>
      </c>
      <c r="I1009" s="24"/>
      <c r="J1009" s="25"/>
      <c r="K1009" s="10"/>
      <c r="L1009" s="32"/>
      <c r="M1009" s="57"/>
      <c r="N1009" s="38"/>
      <c r="O1009" s="31">
        <f t="shared" si="44"/>
        <v>0</v>
      </c>
      <c r="P1009" s="185"/>
      <c r="Q1009" s="185"/>
    </row>
    <row r="1010" spans="5:17" hidden="1" outlineLevel="1">
      <c r="E1010" s="20"/>
      <c r="F1010" s="21"/>
      <c r="G1010" s="22"/>
      <c r="H1010" s="30" t="s">
        <v>3103</v>
      </c>
      <c r="I1010" s="55"/>
      <c r="J1010" s="56"/>
      <c r="K1010" s="57">
        <f>2*(6.85+8.85)</f>
        <v>31.4</v>
      </c>
      <c r="L1010" s="57"/>
      <c r="M1010" s="57">
        <v>1.1000000000000001</v>
      </c>
      <c r="N1010" s="38"/>
      <c r="O1010" s="58">
        <f t="shared" si="44"/>
        <v>34.54</v>
      </c>
      <c r="P1010" s="185"/>
      <c r="Q1010" s="185"/>
    </row>
    <row r="1011" spans="5:17" hidden="1" outlineLevel="1">
      <c r="E1011" s="20"/>
      <c r="F1011" s="21"/>
      <c r="G1011" s="22"/>
      <c r="H1011" s="30" t="str">
        <f>CONCATENATE(H1010," - ","VÃO")</f>
        <v>SALA 1 CAMBURI WHITE - VÃO</v>
      </c>
      <c r="I1011" s="55"/>
      <c r="J1011" s="56">
        <v>-1</v>
      </c>
      <c r="K1011" s="57"/>
      <c r="L1011" s="57"/>
      <c r="M1011" s="57"/>
      <c r="N1011" s="38">
        <f>(0.9*2.1)+2*(3.81*0.46)+2*(3.81*1.26)</f>
        <v>14.996400000000001</v>
      </c>
      <c r="O1011" s="58">
        <f t="shared" si="44"/>
        <v>-15</v>
      </c>
      <c r="P1011" s="185"/>
      <c r="Q1011" s="185"/>
    </row>
    <row r="1012" spans="5:17" hidden="1" outlineLevel="1">
      <c r="E1012" s="20"/>
      <c r="F1012" s="21"/>
      <c r="G1012" s="22"/>
      <c r="H1012" s="30" t="s">
        <v>3104</v>
      </c>
      <c r="I1012" s="55"/>
      <c r="J1012" s="56"/>
      <c r="K1012" s="57">
        <f>2*(6.85+8.85)</f>
        <v>31.4</v>
      </c>
      <c r="L1012" s="57"/>
      <c r="M1012" s="57">
        <v>0.1</v>
      </c>
      <c r="N1012" s="38"/>
      <c r="O1012" s="58">
        <f t="shared" ref="O1012:O1043" si="45">ROUND(PRODUCT(J1012:N1012),2)</f>
        <v>3.14</v>
      </c>
      <c r="P1012" s="185"/>
      <c r="Q1012" s="185"/>
    </row>
    <row r="1013" spans="5:17" hidden="1" outlineLevel="1">
      <c r="E1013" s="20"/>
      <c r="F1013" s="21"/>
      <c r="G1013" s="22"/>
      <c r="H1013" s="30" t="str">
        <f>CONCATENATE(H1012," - ","VÃO")</f>
        <v>SALA 1 AZUL ROYAL - VÃO</v>
      </c>
      <c r="I1013" s="55"/>
      <c r="J1013" s="56">
        <v>-1</v>
      </c>
      <c r="K1013" s="57"/>
      <c r="L1013" s="57"/>
      <c r="M1013" s="57"/>
      <c r="N1013" s="38">
        <f>(0.9*2.1)+2*(3.81*0.46)+2*(3.81*1.26)</f>
        <v>14.996400000000001</v>
      </c>
      <c r="O1013" s="58">
        <f t="shared" si="45"/>
        <v>-15</v>
      </c>
      <c r="P1013" s="185"/>
      <c r="Q1013" s="185"/>
    </row>
    <row r="1014" spans="5:17" hidden="1" outlineLevel="1">
      <c r="E1014" s="20"/>
      <c r="F1014" s="21"/>
      <c r="G1014" s="22"/>
      <c r="H1014" s="30" t="s">
        <v>3105</v>
      </c>
      <c r="I1014" s="55"/>
      <c r="J1014" s="56"/>
      <c r="K1014" s="57">
        <f>2*(6.85+8.85)</f>
        <v>31.4</v>
      </c>
      <c r="L1014" s="57"/>
      <c r="M1014" s="57">
        <v>1.1000000000000001</v>
      </c>
      <c r="N1014" s="38"/>
      <c r="O1014" s="58">
        <f t="shared" si="45"/>
        <v>34.54</v>
      </c>
      <c r="P1014" s="185"/>
      <c r="Q1014" s="185"/>
    </row>
    <row r="1015" spans="5:17" hidden="1" outlineLevel="1">
      <c r="E1015" s="20"/>
      <c r="F1015" s="21"/>
      <c r="G1015" s="22"/>
      <c r="H1015" s="30" t="str">
        <f>CONCATENATE(H1014," - ","VÃO")</f>
        <v>SALA 2 CAMBURI WHITE - VÃO</v>
      </c>
      <c r="I1015" s="55"/>
      <c r="J1015" s="56">
        <v>-1</v>
      </c>
      <c r="K1015" s="57"/>
      <c r="L1015" s="57"/>
      <c r="M1015" s="57"/>
      <c r="N1015" s="38">
        <f>(0.9*2.1)+2*(3.81*0.46)+2*(3.81*1.26)</f>
        <v>14.996400000000001</v>
      </c>
      <c r="O1015" s="58">
        <f t="shared" si="45"/>
        <v>-15</v>
      </c>
      <c r="P1015" s="185"/>
      <c r="Q1015" s="185"/>
    </row>
    <row r="1016" spans="5:17" hidden="1" outlineLevel="1">
      <c r="E1016" s="20"/>
      <c r="F1016" s="21"/>
      <c r="G1016" s="22"/>
      <c r="H1016" s="30" t="s">
        <v>3106</v>
      </c>
      <c r="I1016" s="55"/>
      <c r="J1016" s="56"/>
      <c r="K1016" s="57">
        <f>2*(6.85+8.85)</f>
        <v>31.4</v>
      </c>
      <c r="L1016" s="57"/>
      <c r="M1016" s="57">
        <v>0.1</v>
      </c>
      <c r="N1016" s="38"/>
      <c r="O1016" s="58">
        <f t="shared" si="45"/>
        <v>3.14</v>
      </c>
      <c r="P1016" s="185"/>
      <c r="Q1016" s="185"/>
    </row>
    <row r="1017" spans="5:17" hidden="1" outlineLevel="1">
      <c r="E1017" s="20"/>
      <c r="F1017" s="21"/>
      <c r="G1017" s="22"/>
      <c r="H1017" s="30" t="str">
        <f>CONCATENATE(H1016," - ","VÃO")</f>
        <v>SALA 2 AZUL ROYAL - VÃO</v>
      </c>
      <c r="I1017" s="55"/>
      <c r="J1017" s="56">
        <v>-1</v>
      </c>
      <c r="K1017" s="57"/>
      <c r="L1017" s="57"/>
      <c r="M1017" s="57"/>
      <c r="N1017" s="38">
        <f>(0.9*2.1)+2*(3.81*0.46)+2*(3.81*1.26)</f>
        <v>14.996400000000001</v>
      </c>
      <c r="O1017" s="58">
        <f t="shared" si="45"/>
        <v>-15</v>
      </c>
      <c r="P1017" s="185"/>
      <c r="Q1017" s="185"/>
    </row>
    <row r="1018" spans="5:17" hidden="1" outlineLevel="1">
      <c r="E1018" s="20"/>
      <c r="F1018" s="21"/>
      <c r="G1018" s="22"/>
      <c r="H1018" s="30" t="s">
        <v>3107</v>
      </c>
      <c r="I1018" s="55"/>
      <c r="J1018" s="56"/>
      <c r="K1018" s="57">
        <f>2*(6.85+8.85)</f>
        <v>31.4</v>
      </c>
      <c r="L1018" s="57"/>
      <c r="M1018" s="57">
        <v>1.1000000000000001</v>
      </c>
      <c r="N1018" s="38"/>
      <c r="O1018" s="58">
        <f t="shared" si="45"/>
        <v>34.54</v>
      </c>
      <c r="P1018" s="185"/>
      <c r="Q1018" s="84"/>
    </row>
    <row r="1019" spans="5:17" hidden="1" outlineLevel="1">
      <c r="E1019" s="20"/>
      <c r="F1019" s="21"/>
      <c r="G1019" s="22"/>
      <c r="H1019" s="30" t="str">
        <f>CONCATENATE(H1018," - ","VÃO")</f>
        <v>SALA 3 CAMBURI WHITE - VÃO</v>
      </c>
      <c r="I1019" s="55"/>
      <c r="J1019" s="56">
        <v>-1</v>
      </c>
      <c r="K1019" s="57"/>
      <c r="L1019" s="57"/>
      <c r="M1019" s="57"/>
      <c r="N1019" s="38">
        <f>(0.9*2.1)+2*(3.81*0.46)+2*(3.81*1.26)</f>
        <v>14.996400000000001</v>
      </c>
      <c r="O1019" s="58">
        <f t="shared" si="45"/>
        <v>-15</v>
      </c>
      <c r="P1019" s="185"/>
      <c r="Q1019" s="185"/>
    </row>
    <row r="1020" spans="5:17" hidden="1" outlineLevel="1">
      <c r="E1020" s="20"/>
      <c r="F1020" s="21"/>
      <c r="G1020" s="22"/>
      <c r="H1020" s="30" t="s">
        <v>3108</v>
      </c>
      <c r="I1020" s="55"/>
      <c r="J1020" s="56"/>
      <c r="K1020" s="57">
        <f>2*(6.85+8.85)</f>
        <v>31.4</v>
      </c>
      <c r="L1020" s="57"/>
      <c r="M1020" s="57">
        <v>0.1</v>
      </c>
      <c r="N1020" s="38"/>
      <c r="O1020" s="58">
        <f t="shared" si="45"/>
        <v>3.14</v>
      </c>
      <c r="P1020" s="185"/>
      <c r="Q1020" s="185"/>
    </row>
    <row r="1021" spans="5:17" hidden="1" outlineLevel="1">
      <c r="E1021" s="20"/>
      <c r="F1021" s="21"/>
      <c r="G1021" s="22"/>
      <c r="H1021" s="30" t="str">
        <f>CONCATENATE(H1020," - ","VÃO")</f>
        <v>SALA 3 AZUL ROYAL - VÃO</v>
      </c>
      <c r="I1021" s="55"/>
      <c r="J1021" s="56">
        <v>-1</v>
      </c>
      <c r="K1021" s="57"/>
      <c r="L1021" s="57"/>
      <c r="M1021" s="57"/>
      <c r="N1021" s="38">
        <f>(0.9*2.1)+2*(3.81*0.46)+2*(3.81*1.26)</f>
        <v>14.996400000000001</v>
      </c>
      <c r="O1021" s="58">
        <f t="shared" si="45"/>
        <v>-15</v>
      </c>
      <c r="P1021" s="185"/>
      <c r="Q1021" s="185"/>
    </row>
    <row r="1022" spans="5:17" hidden="1" outlineLevel="1">
      <c r="E1022" s="20"/>
      <c r="F1022" s="21"/>
      <c r="G1022" s="22"/>
      <c r="H1022" s="30" t="s">
        <v>3109</v>
      </c>
      <c r="I1022" s="55"/>
      <c r="J1022" s="56"/>
      <c r="K1022" s="57">
        <f>2*(6.85+8.85)</f>
        <v>31.4</v>
      </c>
      <c r="L1022" s="57"/>
      <c r="M1022" s="57">
        <v>1.1000000000000001</v>
      </c>
      <c r="N1022" s="38"/>
      <c r="O1022" s="58">
        <f t="shared" si="45"/>
        <v>34.54</v>
      </c>
      <c r="P1022" s="185"/>
      <c r="Q1022" s="185"/>
    </row>
    <row r="1023" spans="5:17" hidden="1" outlineLevel="1">
      <c r="E1023" s="20"/>
      <c r="F1023" s="21"/>
      <c r="G1023" s="22"/>
      <c r="H1023" s="30" t="str">
        <f>CONCATENATE(H1022," - ","VÃO")</f>
        <v>SALA 4 CAMBURI WHITE - VÃO</v>
      </c>
      <c r="I1023" s="55"/>
      <c r="J1023" s="56">
        <v>-1</v>
      </c>
      <c r="K1023" s="57"/>
      <c r="L1023" s="57"/>
      <c r="M1023" s="57"/>
      <c r="N1023" s="38">
        <f>(0.9*2.1)+2*(3.81*0.46)+2*(3.81*1.26)</f>
        <v>14.996400000000001</v>
      </c>
      <c r="O1023" s="58">
        <f t="shared" si="45"/>
        <v>-15</v>
      </c>
      <c r="P1023" s="185"/>
      <c r="Q1023" s="185"/>
    </row>
    <row r="1024" spans="5:17" hidden="1" outlineLevel="1">
      <c r="E1024" s="20"/>
      <c r="F1024" s="21"/>
      <c r="G1024" s="22"/>
      <c r="H1024" s="30" t="s">
        <v>3110</v>
      </c>
      <c r="I1024" s="55"/>
      <c r="J1024" s="56"/>
      <c r="K1024" s="57">
        <f>2*(6.85+8.85)</f>
        <v>31.4</v>
      </c>
      <c r="L1024" s="57"/>
      <c r="M1024" s="57">
        <v>0.1</v>
      </c>
      <c r="N1024" s="38"/>
      <c r="O1024" s="58">
        <f t="shared" si="45"/>
        <v>3.14</v>
      </c>
      <c r="P1024" s="185"/>
      <c r="Q1024" s="185"/>
    </row>
    <row r="1025" spans="5:17" hidden="1" outlineLevel="1">
      <c r="E1025" s="20"/>
      <c r="F1025" s="21"/>
      <c r="G1025" s="22"/>
      <c r="H1025" s="30" t="str">
        <f>CONCATENATE(H1024," - ","VÃO")</f>
        <v>SALA 4 AZUL ROYAL - VÃO</v>
      </c>
      <c r="I1025" s="55"/>
      <c r="J1025" s="56">
        <v>-1</v>
      </c>
      <c r="K1025" s="57"/>
      <c r="L1025" s="57"/>
      <c r="M1025" s="57"/>
      <c r="N1025" s="38">
        <f>(0.9*2.1)+2*(3.81*0.46)+2*(3.81*1.26)</f>
        <v>14.996400000000001</v>
      </c>
      <c r="O1025" s="58">
        <f t="shared" si="45"/>
        <v>-15</v>
      </c>
      <c r="P1025" s="185"/>
      <c r="Q1025" s="185"/>
    </row>
    <row r="1026" spans="5:17" hidden="1" outlineLevel="1">
      <c r="E1026" s="20"/>
      <c r="F1026" s="21"/>
      <c r="G1026" s="22"/>
      <c r="H1026" s="30" t="s">
        <v>3111</v>
      </c>
      <c r="I1026" s="55"/>
      <c r="J1026" s="56"/>
      <c r="K1026" s="57">
        <f>2*(6.85+8.85)</f>
        <v>31.4</v>
      </c>
      <c r="L1026" s="57"/>
      <c r="M1026" s="57">
        <v>1.1000000000000001</v>
      </c>
      <c r="N1026" s="38"/>
      <c r="O1026" s="58">
        <f t="shared" si="45"/>
        <v>34.54</v>
      </c>
      <c r="P1026" s="185"/>
      <c r="Q1026" s="185"/>
    </row>
    <row r="1027" spans="5:17" hidden="1" outlineLevel="1">
      <c r="E1027" s="20"/>
      <c r="F1027" s="21"/>
      <c r="G1027" s="22"/>
      <c r="H1027" s="30" t="str">
        <f>CONCATENATE(H1026," - ","VÃO")</f>
        <v>SALA 5 CAMBURI WHITE - VÃO</v>
      </c>
      <c r="I1027" s="55"/>
      <c r="J1027" s="56">
        <v>-1</v>
      </c>
      <c r="K1027" s="57"/>
      <c r="L1027" s="57"/>
      <c r="M1027" s="57"/>
      <c r="N1027" s="38">
        <f>(0.9*2.1)+2*(3.81*0.46)+2*(3.81*1.26)</f>
        <v>14.996400000000001</v>
      </c>
      <c r="O1027" s="58">
        <f t="shared" si="45"/>
        <v>-15</v>
      </c>
      <c r="P1027" s="185"/>
      <c r="Q1027" s="185"/>
    </row>
    <row r="1028" spans="5:17" hidden="1" outlineLevel="1">
      <c r="E1028" s="20"/>
      <c r="F1028" s="21"/>
      <c r="G1028" s="22"/>
      <c r="H1028" s="30" t="s">
        <v>3112</v>
      </c>
      <c r="I1028" s="55"/>
      <c r="J1028" s="56"/>
      <c r="K1028" s="57">
        <f>2*(6.85+8.85)</f>
        <v>31.4</v>
      </c>
      <c r="L1028" s="57"/>
      <c r="M1028" s="57">
        <v>0.1</v>
      </c>
      <c r="N1028" s="38"/>
      <c r="O1028" s="58">
        <f t="shared" si="45"/>
        <v>3.14</v>
      </c>
      <c r="P1028" s="185"/>
      <c r="Q1028" s="185"/>
    </row>
    <row r="1029" spans="5:17" hidden="1" outlineLevel="1">
      <c r="E1029" s="20"/>
      <c r="F1029" s="21"/>
      <c r="G1029" s="22"/>
      <c r="H1029" s="30" t="str">
        <f>CONCATENATE(H1028," - ","VÃO")</f>
        <v>SALA 5 AZUL ROYAL - VÃO</v>
      </c>
      <c r="I1029" s="55"/>
      <c r="J1029" s="56">
        <v>-1</v>
      </c>
      <c r="K1029" s="57"/>
      <c r="L1029" s="57"/>
      <c r="M1029" s="57"/>
      <c r="N1029" s="38">
        <f>(0.9*2.1)+2*(3.81*0.46)+2*(3.81*1.26)</f>
        <v>14.996400000000001</v>
      </c>
      <c r="O1029" s="58">
        <f t="shared" si="45"/>
        <v>-15</v>
      </c>
      <c r="P1029" s="185"/>
      <c r="Q1029" s="185"/>
    </row>
    <row r="1030" spans="5:17" hidden="1" outlineLevel="1">
      <c r="E1030" s="20"/>
      <c r="F1030" s="21"/>
      <c r="G1030" s="22"/>
      <c r="H1030" s="30" t="s">
        <v>3113</v>
      </c>
      <c r="I1030" s="55"/>
      <c r="J1030" s="56"/>
      <c r="K1030" s="57">
        <f>2*(8.85+6.85)</f>
        <v>31.4</v>
      </c>
      <c r="L1030" s="57"/>
      <c r="M1030" s="57">
        <v>1.1000000000000001</v>
      </c>
      <c r="N1030" s="38"/>
      <c r="O1030" s="58">
        <f t="shared" si="45"/>
        <v>34.54</v>
      </c>
      <c r="P1030" s="185"/>
      <c r="Q1030" s="185"/>
    </row>
    <row r="1031" spans="5:17" hidden="1" outlineLevel="1">
      <c r="E1031" s="20"/>
      <c r="F1031" s="21"/>
      <c r="G1031" s="22"/>
      <c r="H1031" s="30" t="str">
        <f>CONCATENATE(H1030," - ","VÃO")</f>
        <v>SALA 6 CAMBURI WHITE - VÃO</v>
      </c>
      <c r="I1031" s="55"/>
      <c r="J1031" s="56">
        <v>-1</v>
      </c>
      <c r="K1031" s="57"/>
      <c r="L1031" s="57"/>
      <c r="M1031" s="57"/>
      <c r="N1031" s="38">
        <f>(0.9*2.1)+3*(3.81*1.26)</f>
        <v>16.291800000000002</v>
      </c>
      <c r="O1031" s="58">
        <f t="shared" si="45"/>
        <v>-16.29</v>
      </c>
      <c r="P1031" s="185"/>
      <c r="Q1031" s="185"/>
    </row>
    <row r="1032" spans="5:17" hidden="1" outlineLevel="1">
      <c r="E1032" s="20"/>
      <c r="F1032" s="21"/>
      <c r="G1032" s="22"/>
      <c r="H1032" s="30" t="s">
        <v>3114</v>
      </c>
      <c r="I1032" s="55"/>
      <c r="J1032" s="56"/>
      <c r="K1032" s="57">
        <f>2*(8.85+6.85)</f>
        <v>31.4</v>
      </c>
      <c r="L1032" s="57"/>
      <c r="M1032" s="57">
        <v>0.1</v>
      </c>
      <c r="N1032" s="38"/>
      <c r="O1032" s="58">
        <f t="shared" si="45"/>
        <v>3.14</v>
      </c>
      <c r="P1032" s="185"/>
      <c r="Q1032" s="185"/>
    </row>
    <row r="1033" spans="5:17" hidden="1" outlineLevel="1">
      <c r="E1033" s="20"/>
      <c r="F1033" s="21"/>
      <c r="G1033" s="22"/>
      <c r="H1033" s="30" t="str">
        <f>CONCATENATE(H1032," - ","VÃO")</f>
        <v>SALA 6 AZUL ROYAL - VÃO</v>
      </c>
      <c r="I1033" s="55"/>
      <c r="J1033" s="56">
        <v>-1</v>
      </c>
      <c r="K1033" s="57"/>
      <c r="L1033" s="57"/>
      <c r="M1033" s="57"/>
      <c r="N1033" s="38">
        <f>(0.9*2.1)+3*(3.81*1.26)</f>
        <v>16.291800000000002</v>
      </c>
      <c r="O1033" s="58">
        <f t="shared" si="45"/>
        <v>-16.29</v>
      </c>
      <c r="P1033" s="185"/>
      <c r="Q1033" s="185"/>
    </row>
    <row r="1034" spans="5:17" hidden="1" outlineLevel="1">
      <c r="E1034" s="20"/>
      <c r="F1034" s="21"/>
      <c r="G1034" s="22"/>
      <c r="H1034" s="30" t="s">
        <v>3115</v>
      </c>
      <c r="I1034" s="55"/>
      <c r="J1034" s="56"/>
      <c r="K1034" s="57">
        <f>K1030</f>
        <v>31.4</v>
      </c>
      <c r="L1034" s="57"/>
      <c r="M1034" s="57">
        <v>1.1000000000000001</v>
      </c>
      <c r="N1034" s="38"/>
      <c r="O1034" s="58">
        <f t="shared" si="45"/>
        <v>34.54</v>
      </c>
      <c r="P1034" s="185"/>
      <c r="Q1034" s="185"/>
    </row>
    <row r="1035" spans="5:17" hidden="1" outlineLevel="1">
      <c r="E1035" s="20"/>
      <c r="F1035" s="21"/>
      <c r="G1035" s="22"/>
      <c r="H1035" s="30" t="str">
        <f>CONCATENATE(H1034," - ","VÃO")</f>
        <v>SALA 7 CAMBURI WHITE - VÃO</v>
      </c>
      <c r="I1035" s="55"/>
      <c r="J1035" s="56">
        <v>-1</v>
      </c>
      <c r="K1035" s="57"/>
      <c r="L1035" s="57"/>
      <c r="M1035" s="57"/>
      <c r="N1035" s="38">
        <f>(0.9*2.1)+2*(3.81*1.26)+2*(3.81*1.26)</f>
        <v>21.092400000000001</v>
      </c>
      <c r="O1035" s="58">
        <f t="shared" si="45"/>
        <v>-21.09</v>
      </c>
      <c r="P1035" s="185"/>
      <c r="Q1035" s="185"/>
    </row>
    <row r="1036" spans="5:17" hidden="1" outlineLevel="1">
      <c r="E1036" s="20"/>
      <c r="F1036" s="21"/>
      <c r="G1036" s="22"/>
      <c r="H1036" s="30" t="s">
        <v>3116</v>
      </c>
      <c r="I1036" s="55"/>
      <c r="J1036" s="56"/>
      <c r="K1036" s="57">
        <f>K1032</f>
        <v>31.4</v>
      </c>
      <c r="L1036" s="57"/>
      <c r="M1036" s="57">
        <v>0.1</v>
      </c>
      <c r="N1036" s="38"/>
      <c r="O1036" s="58">
        <f t="shared" si="45"/>
        <v>3.14</v>
      </c>
      <c r="P1036" s="185"/>
      <c r="Q1036" s="185"/>
    </row>
    <row r="1037" spans="5:17" hidden="1" outlineLevel="1">
      <c r="E1037" s="20"/>
      <c r="F1037" s="21"/>
      <c r="G1037" s="22"/>
      <c r="H1037" s="30" t="str">
        <f>CONCATENATE(H1036," - ","VÃO")</f>
        <v>SALA 7 AZUL ROYAL - VÃO</v>
      </c>
      <c r="I1037" s="55"/>
      <c r="J1037" s="56">
        <v>-1</v>
      </c>
      <c r="K1037" s="57"/>
      <c r="L1037" s="57"/>
      <c r="M1037" s="57"/>
      <c r="N1037" s="38">
        <f>(0.9*2.1)+2*(3.81*1.26)+2*(3.81*1.26)</f>
        <v>21.092400000000001</v>
      </c>
      <c r="O1037" s="58">
        <f t="shared" si="45"/>
        <v>-21.09</v>
      </c>
      <c r="P1037" s="185"/>
      <c r="Q1037" s="185"/>
    </row>
    <row r="1038" spans="5:17" hidden="1" outlineLevel="1">
      <c r="E1038" s="20"/>
      <c r="F1038" s="21"/>
      <c r="G1038" s="22"/>
      <c r="H1038" s="30" t="s">
        <v>3117</v>
      </c>
      <c r="I1038" s="55"/>
      <c r="J1038" s="56"/>
      <c r="K1038" s="57">
        <f>2*(6.85+8.85)</f>
        <v>31.4</v>
      </c>
      <c r="L1038" s="57"/>
      <c r="M1038" s="57">
        <v>1.1000000000000001</v>
      </c>
      <c r="N1038" s="38"/>
      <c r="O1038" s="58">
        <f t="shared" si="45"/>
        <v>34.54</v>
      </c>
      <c r="P1038" s="185"/>
      <c r="Q1038" s="185"/>
    </row>
    <row r="1039" spans="5:17" hidden="1" outlineLevel="1">
      <c r="E1039" s="20"/>
      <c r="F1039" s="21"/>
      <c r="G1039" s="22"/>
      <c r="H1039" s="30" t="str">
        <f>CONCATENATE(H1038," - ","VÃO")</f>
        <v>SALA 8 CAMBURI WHITE - VÃO</v>
      </c>
      <c r="I1039" s="55"/>
      <c r="J1039" s="56">
        <v>-1</v>
      </c>
      <c r="K1039" s="57"/>
      <c r="L1039" s="57"/>
      <c r="M1039" s="57"/>
      <c r="N1039" s="38">
        <f>(0.9*2.1)+2*(3.81*0.46)+2*(3.81*1.26)</f>
        <v>14.996400000000001</v>
      </c>
      <c r="O1039" s="58">
        <f t="shared" si="45"/>
        <v>-15</v>
      </c>
      <c r="P1039" s="185"/>
      <c r="Q1039" s="185"/>
    </row>
    <row r="1040" spans="5:17" hidden="1" outlineLevel="1">
      <c r="E1040" s="20"/>
      <c r="F1040" s="21"/>
      <c r="G1040" s="22"/>
      <c r="H1040" s="30" t="s">
        <v>3118</v>
      </c>
      <c r="I1040" s="55"/>
      <c r="J1040" s="56"/>
      <c r="K1040" s="57">
        <f>2*(6.85+8.85)</f>
        <v>31.4</v>
      </c>
      <c r="L1040" s="57"/>
      <c r="M1040" s="57">
        <v>0.1</v>
      </c>
      <c r="N1040" s="38"/>
      <c r="O1040" s="58">
        <f t="shared" si="45"/>
        <v>3.14</v>
      </c>
      <c r="P1040" s="185"/>
      <c r="Q1040" s="185"/>
    </row>
    <row r="1041" spans="5:17" hidden="1" outlineLevel="1">
      <c r="E1041" s="20"/>
      <c r="F1041" s="21"/>
      <c r="G1041" s="22"/>
      <c r="H1041" s="30" t="str">
        <f>CONCATENATE(H1040," - ","VÃO")</f>
        <v>SALA 8 AZUL ROYAL - VÃO</v>
      </c>
      <c r="I1041" s="55"/>
      <c r="J1041" s="56">
        <v>-1</v>
      </c>
      <c r="K1041" s="57"/>
      <c r="L1041" s="57"/>
      <c r="M1041" s="57"/>
      <c r="N1041" s="38">
        <f>(0.9*2.1)+2*(3.81*0.46)+2*(3.81*1.26)</f>
        <v>14.996400000000001</v>
      </c>
      <c r="O1041" s="58">
        <f t="shared" si="45"/>
        <v>-15</v>
      </c>
      <c r="P1041" s="185"/>
      <c r="Q1041" s="185"/>
    </row>
    <row r="1042" spans="5:17" hidden="1" outlineLevel="1">
      <c r="E1042" s="20"/>
      <c r="F1042" s="21"/>
      <c r="G1042" s="22"/>
      <c r="H1042" s="30" t="s">
        <v>3119</v>
      </c>
      <c r="I1042" s="55"/>
      <c r="J1042" s="56"/>
      <c r="K1042" s="57">
        <f>2*(6.85+8.85)</f>
        <v>31.4</v>
      </c>
      <c r="L1042" s="57"/>
      <c r="M1042" s="57">
        <v>1.1000000000000001</v>
      </c>
      <c r="N1042" s="38"/>
      <c r="O1042" s="58">
        <f t="shared" si="45"/>
        <v>34.54</v>
      </c>
      <c r="P1042" s="185"/>
      <c r="Q1042" s="185"/>
    </row>
    <row r="1043" spans="5:17" hidden="1" outlineLevel="1">
      <c r="E1043" s="20"/>
      <c r="F1043" s="21"/>
      <c r="G1043" s="22"/>
      <c r="H1043" s="30" t="str">
        <f>CONCATENATE(H1042," - ","VÃO")</f>
        <v>SALA 9 CAMBURI WHITE - VÃO</v>
      </c>
      <c r="I1043" s="55"/>
      <c r="J1043" s="56">
        <v>-1</v>
      </c>
      <c r="K1043" s="57"/>
      <c r="L1043" s="57"/>
      <c r="M1043" s="57"/>
      <c r="N1043" s="38">
        <f>(0.9*2.1)+2*(3.81*0.46)+2*(3.81*1.26)</f>
        <v>14.996400000000001</v>
      </c>
      <c r="O1043" s="58">
        <f t="shared" si="45"/>
        <v>-15</v>
      </c>
      <c r="P1043" s="185"/>
      <c r="Q1043" s="185"/>
    </row>
    <row r="1044" spans="5:17" hidden="1" outlineLevel="1">
      <c r="E1044" s="20"/>
      <c r="F1044" s="21"/>
      <c r="G1044" s="22"/>
      <c r="H1044" s="30" t="s">
        <v>3120</v>
      </c>
      <c r="I1044" s="55"/>
      <c r="J1044" s="56"/>
      <c r="K1044" s="57">
        <f>2*(6.85+8.85)</f>
        <v>31.4</v>
      </c>
      <c r="L1044" s="57"/>
      <c r="M1044" s="57">
        <v>0.1</v>
      </c>
      <c r="N1044" s="38"/>
      <c r="O1044" s="58">
        <f t="shared" ref="O1044:O1061" si="46">ROUND(PRODUCT(J1044:N1044),2)</f>
        <v>3.14</v>
      </c>
      <c r="P1044" s="185"/>
      <c r="Q1044" s="185"/>
    </row>
    <row r="1045" spans="5:17" hidden="1" outlineLevel="1">
      <c r="E1045" s="20"/>
      <c r="F1045" s="21"/>
      <c r="G1045" s="22"/>
      <c r="H1045" s="30" t="str">
        <f>CONCATENATE(H1044," - ","VÃO")</f>
        <v>SALA 9 AZUL ROYAL - VÃO</v>
      </c>
      <c r="I1045" s="55"/>
      <c r="J1045" s="56">
        <v>-1</v>
      </c>
      <c r="K1045" s="57"/>
      <c r="L1045" s="57"/>
      <c r="M1045" s="57"/>
      <c r="N1045" s="38">
        <f>(0.9*2.1)+2*(3.81*0.46)+2*(3.81*1.26)</f>
        <v>14.996400000000001</v>
      </c>
      <c r="O1045" s="58">
        <f t="shared" si="46"/>
        <v>-15</v>
      </c>
      <c r="P1045" s="185"/>
      <c r="Q1045" s="185"/>
    </row>
    <row r="1046" spans="5:17" hidden="1" outlineLevel="1">
      <c r="E1046" s="20"/>
      <c r="F1046" s="21"/>
      <c r="G1046" s="22"/>
      <c r="H1046" s="30" t="s">
        <v>3121</v>
      </c>
      <c r="I1046" s="55"/>
      <c r="J1046" s="56"/>
      <c r="K1046" s="57">
        <f>2*(6.85+8.85)</f>
        <v>31.4</v>
      </c>
      <c r="L1046" s="57"/>
      <c r="M1046" s="57">
        <v>1.1000000000000001</v>
      </c>
      <c r="N1046" s="38"/>
      <c r="O1046" s="58">
        <f t="shared" si="46"/>
        <v>34.54</v>
      </c>
      <c r="P1046" s="185"/>
      <c r="Q1046" s="84"/>
    </row>
    <row r="1047" spans="5:17" hidden="1" outlineLevel="1">
      <c r="E1047" s="20"/>
      <c r="F1047" s="21"/>
      <c r="G1047" s="22"/>
      <c r="H1047" s="30" t="str">
        <f>CONCATENATE(H1046," - ","VÃO")</f>
        <v>SALA 10 CAMBURI WHITE - VÃO</v>
      </c>
      <c r="I1047" s="55"/>
      <c r="J1047" s="56">
        <v>-1</v>
      </c>
      <c r="K1047" s="57"/>
      <c r="L1047" s="57"/>
      <c r="M1047" s="57"/>
      <c r="N1047" s="38">
        <f>(0.9*2.1)+2*(3.81*0.46)+2*(3.81*1.26)</f>
        <v>14.996400000000001</v>
      </c>
      <c r="O1047" s="58">
        <f t="shared" si="46"/>
        <v>-15</v>
      </c>
      <c r="P1047" s="185"/>
      <c r="Q1047" s="185"/>
    </row>
    <row r="1048" spans="5:17" hidden="1" outlineLevel="1">
      <c r="E1048" s="20"/>
      <c r="F1048" s="21"/>
      <c r="G1048" s="22"/>
      <c r="H1048" s="30" t="s">
        <v>3122</v>
      </c>
      <c r="I1048" s="55"/>
      <c r="J1048" s="56"/>
      <c r="K1048" s="57">
        <f>2*(6.85+8.85)</f>
        <v>31.4</v>
      </c>
      <c r="L1048" s="57"/>
      <c r="M1048" s="57">
        <v>0.1</v>
      </c>
      <c r="N1048" s="38"/>
      <c r="O1048" s="58">
        <f t="shared" si="46"/>
        <v>3.14</v>
      </c>
      <c r="P1048" s="185"/>
      <c r="Q1048" s="185"/>
    </row>
    <row r="1049" spans="5:17" hidden="1" outlineLevel="1">
      <c r="E1049" s="20"/>
      <c r="F1049" s="21"/>
      <c r="G1049" s="22"/>
      <c r="H1049" s="30" t="str">
        <f>CONCATENATE(H1048," - ","VÃO")</f>
        <v>SALA 10 AZUL ROYAL - VÃO</v>
      </c>
      <c r="I1049" s="55"/>
      <c r="J1049" s="56">
        <v>-1</v>
      </c>
      <c r="K1049" s="57"/>
      <c r="L1049" s="57"/>
      <c r="M1049" s="57"/>
      <c r="N1049" s="38">
        <f>(0.9*2.1)+2*(3.81*0.46)+2*(3.81*1.26)</f>
        <v>14.996400000000001</v>
      </c>
      <c r="O1049" s="58">
        <f t="shared" si="46"/>
        <v>-15</v>
      </c>
      <c r="P1049" s="185"/>
      <c r="Q1049" s="185"/>
    </row>
    <row r="1050" spans="5:17" hidden="1" outlineLevel="1">
      <c r="E1050" s="20"/>
      <c r="F1050" s="21"/>
      <c r="G1050" s="22"/>
      <c r="H1050" s="30" t="s">
        <v>3123</v>
      </c>
      <c r="I1050" s="55"/>
      <c r="J1050" s="56"/>
      <c r="K1050" s="57">
        <f>2*(6.85+8.85)</f>
        <v>31.4</v>
      </c>
      <c r="L1050" s="57"/>
      <c r="M1050" s="57">
        <v>1.1000000000000001</v>
      </c>
      <c r="N1050" s="38"/>
      <c r="O1050" s="58">
        <f t="shared" si="46"/>
        <v>34.54</v>
      </c>
      <c r="P1050" s="185"/>
      <c r="Q1050" s="185"/>
    </row>
    <row r="1051" spans="5:17" hidden="1" outlineLevel="1">
      <c r="E1051" s="20"/>
      <c r="F1051" s="21"/>
      <c r="G1051" s="22"/>
      <c r="H1051" s="30" t="str">
        <f>CONCATENATE(H1050," - ","VÃO")</f>
        <v>SALA 11 CAMBURI WHITE - VÃO</v>
      </c>
      <c r="I1051" s="55"/>
      <c r="J1051" s="56">
        <v>-1</v>
      </c>
      <c r="K1051" s="57"/>
      <c r="L1051" s="57"/>
      <c r="M1051" s="57"/>
      <c r="N1051" s="38">
        <f>(0.9*2.1)+2*(3.81*0.46)+2*(3.81*1.26)</f>
        <v>14.996400000000001</v>
      </c>
      <c r="O1051" s="58">
        <f t="shared" si="46"/>
        <v>-15</v>
      </c>
      <c r="P1051" s="185"/>
      <c r="Q1051" s="185"/>
    </row>
    <row r="1052" spans="5:17" hidden="1" outlineLevel="1">
      <c r="E1052" s="20"/>
      <c r="F1052" s="21"/>
      <c r="G1052" s="22"/>
      <c r="H1052" s="30" t="s">
        <v>3124</v>
      </c>
      <c r="I1052" s="55"/>
      <c r="J1052" s="56"/>
      <c r="K1052" s="57">
        <f>2*(6.85+8.85)</f>
        <v>31.4</v>
      </c>
      <c r="L1052" s="57"/>
      <c r="M1052" s="57">
        <v>0.1</v>
      </c>
      <c r="N1052" s="38"/>
      <c r="O1052" s="58">
        <f t="shared" si="46"/>
        <v>3.14</v>
      </c>
      <c r="P1052" s="185"/>
      <c r="Q1052" s="185"/>
    </row>
    <row r="1053" spans="5:17" hidden="1" outlineLevel="1">
      <c r="E1053" s="20"/>
      <c r="F1053" s="21"/>
      <c r="G1053" s="22"/>
      <c r="H1053" s="30" t="str">
        <f>CONCATENATE(H1052," - ","VÃO")</f>
        <v>SALA 11 AZUL ROYAL - VÃO</v>
      </c>
      <c r="I1053" s="55"/>
      <c r="J1053" s="56">
        <v>-1</v>
      </c>
      <c r="K1053" s="57"/>
      <c r="L1053" s="57"/>
      <c r="M1053" s="57"/>
      <c r="N1053" s="38">
        <f>(0.9*2.1)+2*(3.81*0.46)+2*(3.81*1.26)</f>
        <v>14.996400000000001</v>
      </c>
      <c r="O1053" s="58">
        <f t="shared" si="46"/>
        <v>-15</v>
      </c>
      <c r="P1053" s="185"/>
      <c r="Q1053" s="185"/>
    </row>
    <row r="1054" spans="5:17" hidden="1" outlineLevel="1">
      <c r="E1054" s="20"/>
      <c r="F1054" s="21"/>
      <c r="G1054" s="22"/>
      <c r="H1054" s="30" t="s">
        <v>3125</v>
      </c>
      <c r="I1054" s="55"/>
      <c r="J1054" s="56"/>
      <c r="K1054" s="57">
        <f>2*(6.85+8.85)</f>
        <v>31.4</v>
      </c>
      <c r="L1054" s="57"/>
      <c r="M1054" s="57">
        <v>1.1000000000000001</v>
      </c>
      <c r="N1054" s="38"/>
      <c r="O1054" s="58">
        <f t="shared" si="46"/>
        <v>34.54</v>
      </c>
      <c r="P1054" s="185"/>
      <c r="Q1054" s="185"/>
    </row>
    <row r="1055" spans="5:17" hidden="1" outlineLevel="1">
      <c r="E1055" s="20"/>
      <c r="F1055" s="21"/>
      <c r="G1055" s="22"/>
      <c r="H1055" s="30" t="str">
        <f>CONCATENATE(H1054," - ","VÃO")</f>
        <v>SALA 12 CAMBURI WHITE - VÃO</v>
      </c>
      <c r="I1055" s="55"/>
      <c r="J1055" s="56">
        <v>-1</v>
      </c>
      <c r="K1055" s="57"/>
      <c r="L1055" s="57"/>
      <c r="M1055" s="57"/>
      <c r="N1055" s="38">
        <f>(0.9*2.1)+2*(3.81*0.46)+2*(3.81*1.26)</f>
        <v>14.996400000000001</v>
      </c>
      <c r="O1055" s="58">
        <f t="shared" si="46"/>
        <v>-15</v>
      </c>
      <c r="P1055" s="185"/>
      <c r="Q1055" s="185"/>
    </row>
    <row r="1056" spans="5:17" hidden="1" outlineLevel="1">
      <c r="E1056" s="20"/>
      <c r="F1056" s="21"/>
      <c r="G1056" s="22"/>
      <c r="H1056" s="30" t="s">
        <v>3126</v>
      </c>
      <c r="I1056" s="55"/>
      <c r="J1056" s="56"/>
      <c r="K1056" s="57">
        <f>2*(6.85+8.85)</f>
        <v>31.4</v>
      </c>
      <c r="L1056" s="57"/>
      <c r="M1056" s="57">
        <v>0.1</v>
      </c>
      <c r="N1056" s="38"/>
      <c r="O1056" s="58">
        <f t="shared" si="46"/>
        <v>3.14</v>
      </c>
      <c r="P1056" s="185"/>
      <c r="Q1056" s="185"/>
    </row>
    <row r="1057" spans="1:18" hidden="1" outlineLevel="1">
      <c r="E1057" s="20"/>
      <c r="F1057" s="21"/>
      <c r="G1057" s="22"/>
      <c r="H1057" s="30" t="str">
        <f>CONCATENATE(H1056," - ","VÃO")</f>
        <v>SALA 12 AZUL ROYAL - VÃO</v>
      </c>
      <c r="I1057" s="55"/>
      <c r="J1057" s="56">
        <v>-1</v>
      </c>
      <c r="K1057" s="57"/>
      <c r="L1057" s="57"/>
      <c r="M1057" s="57"/>
      <c r="N1057" s="38">
        <f>(0.9*2.1)+2*(3.81*0.46)+2*(3.81*1.26)</f>
        <v>14.996400000000001</v>
      </c>
      <c r="O1057" s="58">
        <f t="shared" si="46"/>
        <v>-15</v>
      </c>
      <c r="P1057" s="185"/>
      <c r="Q1057" s="185"/>
    </row>
    <row r="1058" spans="1:18" hidden="1" outlineLevel="1">
      <c r="E1058" s="20"/>
      <c r="F1058" s="21"/>
      <c r="G1058" s="22"/>
      <c r="H1058" s="30" t="s">
        <v>3089</v>
      </c>
      <c r="I1058" s="55"/>
      <c r="J1058" s="56"/>
      <c r="K1058" s="57">
        <v>122.03</v>
      </c>
      <c r="L1058" s="57"/>
      <c r="M1058" s="57">
        <v>1.1000000000000001</v>
      </c>
      <c r="N1058" s="38"/>
      <c r="O1058" s="58">
        <f t="shared" si="46"/>
        <v>134.22999999999999</v>
      </c>
      <c r="P1058" s="185"/>
      <c r="Q1058" s="185"/>
    </row>
    <row r="1059" spans="1:18" hidden="1" outlineLevel="1">
      <c r="E1059" s="20"/>
      <c r="F1059" s="21"/>
      <c r="G1059" s="22"/>
      <c r="H1059" s="30" t="str">
        <f>CONCATENATE(H1058," - ","VÃO")</f>
        <v>CIRCULAÇÃO EXTERNA CAMBURI WHITE - VÃO</v>
      </c>
      <c r="I1059" s="55"/>
      <c r="J1059" s="56">
        <v>-1</v>
      </c>
      <c r="K1059" s="57"/>
      <c r="L1059" s="57"/>
      <c r="M1059" s="57"/>
      <c r="N1059" s="38">
        <f>22*Q979+17*0.9*2.1</f>
        <v>32.130000000000003</v>
      </c>
      <c r="O1059" s="58">
        <f t="shared" si="46"/>
        <v>-32.130000000000003</v>
      </c>
      <c r="P1059" s="185"/>
      <c r="Q1059" s="185"/>
    </row>
    <row r="1060" spans="1:18" hidden="1" outlineLevel="1">
      <c r="E1060" s="20"/>
      <c r="F1060" s="21"/>
      <c r="G1060" s="22"/>
      <c r="H1060" s="30" t="s">
        <v>3090</v>
      </c>
      <c r="I1060" s="55"/>
      <c r="J1060" s="56"/>
      <c r="K1060" s="57">
        <v>122.03</v>
      </c>
      <c r="L1060" s="57"/>
      <c r="M1060" s="57">
        <v>0.1</v>
      </c>
      <c r="N1060" s="38"/>
      <c r="O1060" s="58">
        <f t="shared" si="46"/>
        <v>12.2</v>
      </c>
      <c r="P1060" s="185"/>
      <c r="Q1060" s="185"/>
    </row>
    <row r="1061" spans="1:18" hidden="1" outlineLevel="1">
      <c r="E1061" s="20"/>
      <c r="F1061" s="21"/>
      <c r="G1061" s="22"/>
      <c r="H1061" s="30" t="str">
        <f>CONCATENATE(H1060," - ","VÃO")</f>
        <v>CIRCULAÇÃO EXTERNA AZUL ROYAL - VÃO</v>
      </c>
      <c r="I1061" s="55"/>
      <c r="J1061" s="56">
        <v>-1</v>
      </c>
      <c r="K1061" s="57"/>
      <c r="L1061" s="57"/>
      <c r="M1061" s="57"/>
      <c r="N1061" s="38">
        <f>22*Q981+17*0.9*2.1</f>
        <v>32.130000000000003</v>
      </c>
      <c r="O1061" s="58">
        <f t="shared" si="46"/>
        <v>-32.130000000000003</v>
      </c>
      <c r="P1061" s="185"/>
      <c r="Q1061" s="185"/>
    </row>
    <row r="1062" spans="1:18" hidden="1" outlineLevel="1">
      <c r="E1062" s="20"/>
      <c r="F1062" s="21" t="s">
        <v>3127</v>
      </c>
      <c r="G1062" s="22">
        <v>1419</v>
      </c>
      <c r="H1062" s="23" t="s">
        <v>279</v>
      </c>
      <c r="I1062" s="24" t="s">
        <v>45</v>
      </c>
      <c r="J1062" s="32"/>
      <c r="K1062" s="10"/>
      <c r="L1062" s="32"/>
      <c r="M1062" s="10"/>
      <c r="N1062" s="33"/>
      <c r="O1062" s="11">
        <f>O1063</f>
        <v>440.72</v>
      </c>
      <c r="P1062" s="185"/>
      <c r="Q1062" s="185"/>
    </row>
    <row r="1063" spans="1:18" hidden="1" outlineLevel="1">
      <c r="E1063" s="20"/>
      <c r="F1063" s="21"/>
      <c r="G1063" s="22"/>
      <c r="H1063" s="30"/>
      <c r="I1063" s="22"/>
      <c r="J1063" s="32"/>
      <c r="K1063" s="57">
        <f>15.03*24+80</f>
        <v>440.71999999999997</v>
      </c>
      <c r="L1063" s="32"/>
      <c r="M1063" s="10"/>
      <c r="N1063" s="33"/>
      <c r="O1063" s="58">
        <f>ROUND(PRODUCT(J1063:N1063),2)</f>
        <v>440.72</v>
      </c>
      <c r="P1063" s="185"/>
      <c r="Q1063" s="185"/>
    </row>
    <row r="1064" spans="1:18" hidden="1" outlineLevel="1">
      <c r="E1064" s="20"/>
      <c r="F1064" s="21" t="s">
        <v>3128</v>
      </c>
      <c r="G1064" s="22">
        <v>2437</v>
      </c>
      <c r="H1064" s="23" t="s">
        <v>282</v>
      </c>
      <c r="I1064" s="24" t="s">
        <v>45</v>
      </c>
      <c r="J1064" s="32"/>
      <c r="K1064" s="10"/>
      <c r="L1064" s="32"/>
      <c r="M1064" s="10"/>
      <c r="N1064" s="33"/>
      <c r="O1064" s="11">
        <f>O1065</f>
        <v>98.93</v>
      </c>
      <c r="P1064" s="185"/>
      <c r="Q1064" s="185"/>
    </row>
    <row r="1065" spans="1:18" hidden="1" outlineLevel="1">
      <c r="E1065" s="20"/>
      <c r="F1065" s="21"/>
      <c r="G1065" s="22"/>
      <c r="H1065" s="30"/>
      <c r="I1065" s="22"/>
      <c r="J1065" s="32"/>
      <c r="K1065" s="57">
        <v>98.93</v>
      </c>
      <c r="L1065" s="32"/>
      <c r="M1065" s="10"/>
      <c r="N1065" s="33"/>
      <c r="O1065" s="58">
        <f>ROUND(PRODUCT(J1065:N1065),2)</f>
        <v>98.93</v>
      </c>
      <c r="P1065" s="185"/>
      <c r="Q1065" s="185"/>
    </row>
    <row r="1066" spans="1:18" collapsed="1">
      <c r="E1066" s="20"/>
      <c r="F1066" s="53" t="s">
        <v>3129</v>
      </c>
      <c r="G1066" s="13"/>
      <c r="H1066" s="14" t="s">
        <v>294</v>
      </c>
      <c r="I1066" s="15"/>
      <c r="J1066" s="16"/>
      <c r="K1066" s="17"/>
      <c r="L1066" s="16"/>
      <c r="M1066" s="17"/>
      <c r="N1066" s="18"/>
      <c r="O1066" s="19"/>
      <c r="P1066" s="185"/>
      <c r="Q1066" s="185"/>
    </row>
    <row r="1067" spans="1:18" ht="27.6" hidden="1" customHeight="1" outlineLevel="1">
      <c r="A1067" s="2">
        <v>5</v>
      </c>
      <c r="B1067" s="2">
        <v>8</v>
      </c>
      <c r="C1067" s="2" t="e">
        <f>1+#REF!</f>
        <v>#REF!</v>
      </c>
      <c r="E1067" s="20" t="e">
        <f>CONCATENATE(A1067,".",B1067,".",C1067)</f>
        <v>#REF!</v>
      </c>
      <c r="F1067" s="21" t="s">
        <v>3130</v>
      </c>
      <c r="G1067" s="22">
        <v>96114</v>
      </c>
      <c r="H1067" s="23" t="s">
        <v>3131</v>
      </c>
      <c r="I1067" s="24" t="s">
        <v>45</v>
      </c>
      <c r="J1067" s="32"/>
      <c r="K1067" s="10"/>
      <c r="L1067" s="32"/>
      <c r="M1067" s="10"/>
      <c r="N1067" s="33"/>
      <c r="O1067" s="11">
        <f>SUM(O1068:O1119)</f>
        <v>1702.2800000000007</v>
      </c>
      <c r="P1067" s="302"/>
      <c r="Q1067" s="303"/>
      <c r="R1067" s="303"/>
    </row>
    <row r="1068" spans="1:18" hidden="1" outlineLevel="1">
      <c r="E1068" s="20"/>
      <c r="F1068" s="21"/>
      <c r="G1068" s="22"/>
      <c r="H1068" s="24" t="s">
        <v>2873</v>
      </c>
      <c r="I1068" s="22"/>
      <c r="J1068" s="32"/>
      <c r="K1068" s="10"/>
      <c r="L1068" s="32"/>
      <c r="M1068" s="10"/>
      <c r="N1068" s="33"/>
      <c r="O1068" s="27"/>
      <c r="P1068" s="185"/>
      <c r="Q1068" s="185"/>
    </row>
    <row r="1069" spans="1:18" hidden="1" outlineLevel="1">
      <c r="E1069" s="20"/>
      <c r="F1069" s="21"/>
      <c r="G1069" s="22"/>
      <c r="H1069" s="30" t="s">
        <v>2874</v>
      </c>
      <c r="I1069" s="22">
        <v>47.95</v>
      </c>
      <c r="J1069" s="32"/>
      <c r="K1069" s="10"/>
      <c r="L1069" s="32"/>
      <c r="M1069" s="10"/>
      <c r="N1069" s="33">
        <f>I1069</f>
        <v>47.95</v>
      </c>
      <c r="O1069" s="58">
        <f t="shared" ref="O1069:O1101" si="47">ROUND(PRODUCT(J1069:N1069),2)</f>
        <v>47.95</v>
      </c>
      <c r="P1069" s="185"/>
      <c r="Q1069" s="185"/>
    </row>
    <row r="1070" spans="1:18" hidden="1" outlineLevel="1">
      <c r="E1070" s="20"/>
      <c r="F1070" s="21"/>
      <c r="G1070" s="22"/>
      <c r="H1070" s="30" t="s">
        <v>2990</v>
      </c>
      <c r="I1070" s="22">
        <v>5.15</v>
      </c>
      <c r="J1070" s="32"/>
      <c r="K1070" s="10"/>
      <c r="L1070" s="32"/>
      <c r="M1070" s="10"/>
      <c r="N1070" s="33">
        <f t="shared" ref="N1070:N1101" si="48">I1070</f>
        <v>5.15</v>
      </c>
      <c r="O1070" s="58">
        <f t="shared" si="47"/>
        <v>5.15</v>
      </c>
      <c r="P1070" s="185"/>
      <c r="Q1070" s="185"/>
    </row>
    <row r="1071" spans="1:18" hidden="1" outlineLevel="1">
      <c r="E1071" s="20"/>
      <c r="F1071" s="21"/>
      <c r="G1071" s="22"/>
      <c r="H1071" s="30" t="s">
        <v>2991</v>
      </c>
      <c r="I1071" s="22">
        <v>8.39</v>
      </c>
      <c r="J1071" s="32"/>
      <c r="K1071" s="10"/>
      <c r="L1071" s="32"/>
      <c r="M1071" s="10"/>
      <c r="N1071" s="33">
        <f t="shared" si="48"/>
        <v>8.39</v>
      </c>
      <c r="O1071" s="58">
        <f t="shared" si="47"/>
        <v>8.39</v>
      </c>
      <c r="P1071" s="185"/>
      <c r="Q1071" s="185"/>
    </row>
    <row r="1072" spans="1:18" hidden="1" outlineLevel="1">
      <c r="E1072" s="20"/>
      <c r="F1072" s="21"/>
      <c r="G1072" s="22"/>
      <c r="H1072" s="30" t="s">
        <v>2875</v>
      </c>
      <c r="I1072" s="22">
        <v>13.57</v>
      </c>
      <c r="J1072" s="32"/>
      <c r="K1072" s="10"/>
      <c r="L1072" s="32"/>
      <c r="M1072" s="10"/>
      <c r="N1072" s="33">
        <f t="shared" si="48"/>
        <v>13.57</v>
      </c>
      <c r="O1072" s="58">
        <f t="shared" si="47"/>
        <v>13.57</v>
      </c>
      <c r="P1072" s="185"/>
      <c r="Q1072" s="185"/>
    </row>
    <row r="1073" spans="5:17" hidden="1" outlineLevel="1">
      <c r="E1073" s="20"/>
      <c r="F1073" s="21"/>
      <c r="G1073" s="22"/>
      <c r="H1073" s="30" t="s">
        <v>2876</v>
      </c>
      <c r="I1073" s="22">
        <v>13.57</v>
      </c>
      <c r="J1073" s="32"/>
      <c r="K1073" s="10"/>
      <c r="L1073" s="32"/>
      <c r="M1073" s="10"/>
      <c r="N1073" s="33">
        <f t="shared" si="48"/>
        <v>13.57</v>
      </c>
      <c r="O1073" s="58">
        <f t="shared" si="47"/>
        <v>13.57</v>
      </c>
      <c r="P1073" s="185"/>
      <c r="Q1073" s="185"/>
    </row>
    <row r="1074" spans="5:17" hidden="1" outlineLevel="1">
      <c r="E1074" s="20"/>
      <c r="F1074" s="21"/>
      <c r="G1074" s="22"/>
      <c r="H1074" s="30" t="s">
        <v>2992</v>
      </c>
      <c r="I1074" s="22">
        <v>5.44</v>
      </c>
      <c r="J1074" s="32"/>
      <c r="K1074" s="10"/>
      <c r="L1074" s="32"/>
      <c r="M1074" s="10"/>
      <c r="N1074" s="33">
        <f t="shared" si="48"/>
        <v>5.44</v>
      </c>
      <c r="O1074" s="58">
        <f t="shared" si="47"/>
        <v>5.44</v>
      </c>
      <c r="P1074" s="185"/>
      <c r="Q1074" s="185"/>
    </row>
    <row r="1075" spans="5:17" hidden="1" outlineLevel="1">
      <c r="E1075" s="20"/>
      <c r="F1075" s="21"/>
      <c r="G1075" s="22"/>
      <c r="H1075" s="30" t="s">
        <v>2973</v>
      </c>
      <c r="I1075" s="22">
        <v>2.4</v>
      </c>
      <c r="J1075" s="32"/>
      <c r="K1075" s="10"/>
      <c r="L1075" s="32"/>
      <c r="M1075" s="10"/>
      <c r="N1075" s="33">
        <f>I1075</f>
        <v>2.4</v>
      </c>
      <c r="O1075" s="58">
        <f t="shared" si="47"/>
        <v>2.4</v>
      </c>
      <c r="P1075" s="185"/>
      <c r="Q1075" s="185"/>
    </row>
    <row r="1076" spans="5:17" hidden="1" outlineLevel="1">
      <c r="E1076" s="20"/>
      <c r="F1076" s="21"/>
      <c r="G1076" s="22"/>
      <c r="H1076" s="30" t="s">
        <v>2974</v>
      </c>
      <c r="I1076" s="22">
        <v>2.4</v>
      </c>
      <c r="J1076" s="32"/>
      <c r="K1076" s="10"/>
      <c r="L1076" s="32"/>
      <c r="M1076" s="10"/>
      <c r="N1076" s="33">
        <f>I1076</f>
        <v>2.4</v>
      </c>
      <c r="O1076" s="58">
        <f t="shared" si="47"/>
        <v>2.4</v>
      </c>
      <c r="P1076" s="185"/>
      <c r="Q1076" s="185"/>
    </row>
    <row r="1077" spans="5:17" hidden="1" outlineLevel="1">
      <c r="E1077" s="20"/>
      <c r="F1077" s="21"/>
      <c r="G1077" s="22"/>
      <c r="H1077" s="30" t="s">
        <v>2902</v>
      </c>
      <c r="I1077" s="22">
        <v>3.43</v>
      </c>
      <c r="J1077" s="32"/>
      <c r="K1077" s="10"/>
      <c r="L1077" s="32"/>
      <c r="M1077" s="10"/>
      <c r="N1077" s="33">
        <f>I1077</f>
        <v>3.43</v>
      </c>
      <c r="O1077" s="58">
        <f t="shared" si="47"/>
        <v>3.43</v>
      </c>
      <c r="P1077" s="185"/>
      <c r="Q1077" s="185"/>
    </row>
    <row r="1078" spans="5:17" hidden="1" outlineLevel="1">
      <c r="E1078" s="20"/>
      <c r="F1078" s="21"/>
      <c r="G1078" s="22"/>
      <c r="H1078" s="30" t="s">
        <v>2903</v>
      </c>
      <c r="I1078" s="22">
        <v>3.43</v>
      </c>
      <c r="J1078" s="32"/>
      <c r="K1078" s="10"/>
      <c r="L1078" s="32"/>
      <c r="M1078" s="10"/>
      <c r="N1078" s="33">
        <f>I1078</f>
        <v>3.43</v>
      </c>
      <c r="O1078" s="58">
        <f t="shared" si="47"/>
        <v>3.43</v>
      </c>
      <c r="P1078" s="185"/>
      <c r="Q1078" s="185"/>
    </row>
    <row r="1079" spans="5:17" hidden="1" outlineLevel="1">
      <c r="E1079" s="20"/>
      <c r="F1079" s="21"/>
      <c r="G1079" s="22"/>
      <c r="H1079" s="30" t="s">
        <v>2882</v>
      </c>
      <c r="I1079" s="22">
        <v>18.07</v>
      </c>
      <c r="J1079" s="32"/>
      <c r="K1079" s="10"/>
      <c r="L1079" s="32"/>
      <c r="M1079" s="10"/>
      <c r="N1079" s="33">
        <f t="shared" si="48"/>
        <v>18.07</v>
      </c>
      <c r="O1079" s="58">
        <f t="shared" si="47"/>
        <v>18.07</v>
      </c>
      <c r="P1079" s="185"/>
      <c r="Q1079" s="185"/>
    </row>
    <row r="1080" spans="5:17" hidden="1" outlineLevel="1">
      <c r="E1080" s="20"/>
      <c r="F1080" s="21"/>
      <c r="G1080" s="22"/>
      <c r="H1080" s="30" t="s">
        <v>2996</v>
      </c>
      <c r="I1080" s="22">
        <v>14.66</v>
      </c>
      <c r="J1080" s="32"/>
      <c r="K1080" s="10"/>
      <c r="L1080" s="32"/>
      <c r="M1080" s="10"/>
      <c r="N1080" s="33">
        <f t="shared" si="48"/>
        <v>14.66</v>
      </c>
      <c r="O1080" s="58">
        <f t="shared" si="47"/>
        <v>14.66</v>
      </c>
      <c r="P1080" s="185"/>
      <c r="Q1080" s="185"/>
    </row>
    <row r="1081" spans="5:17" hidden="1" outlineLevel="1">
      <c r="E1081" s="20"/>
      <c r="F1081" s="21"/>
      <c r="G1081" s="22"/>
      <c r="H1081" s="30" t="s">
        <v>2880</v>
      </c>
      <c r="I1081" s="22">
        <v>10.42</v>
      </c>
      <c r="J1081" s="32"/>
      <c r="K1081" s="10"/>
      <c r="L1081" s="32"/>
      <c r="M1081" s="10"/>
      <c r="N1081" s="33">
        <f t="shared" si="48"/>
        <v>10.42</v>
      </c>
      <c r="O1081" s="58">
        <f t="shared" si="47"/>
        <v>10.42</v>
      </c>
      <c r="P1081" s="185"/>
      <c r="Q1081" s="185"/>
    </row>
    <row r="1082" spans="5:17" hidden="1" outlineLevel="1">
      <c r="E1082" s="20"/>
      <c r="F1082" s="21"/>
      <c r="G1082" s="22"/>
      <c r="H1082" s="30" t="s">
        <v>2883</v>
      </c>
      <c r="I1082" s="22">
        <v>35.51</v>
      </c>
      <c r="J1082" s="32"/>
      <c r="K1082" s="10"/>
      <c r="L1082" s="32"/>
      <c r="M1082" s="10"/>
      <c r="N1082" s="33">
        <f t="shared" si="48"/>
        <v>35.51</v>
      </c>
      <c r="O1082" s="58">
        <f t="shared" si="47"/>
        <v>35.51</v>
      </c>
      <c r="P1082" s="185"/>
      <c r="Q1082" s="185"/>
    </row>
    <row r="1083" spans="5:17" hidden="1" outlineLevel="1">
      <c r="E1083" s="20"/>
      <c r="F1083" s="21"/>
      <c r="G1083" s="22"/>
      <c r="H1083" s="30" t="s">
        <v>2997</v>
      </c>
      <c r="I1083" s="22">
        <v>17.36</v>
      </c>
      <c r="J1083" s="32"/>
      <c r="K1083" s="10"/>
      <c r="L1083" s="32"/>
      <c r="M1083" s="10"/>
      <c r="N1083" s="33">
        <f t="shared" si="48"/>
        <v>17.36</v>
      </c>
      <c r="O1083" s="58">
        <f t="shared" si="47"/>
        <v>17.36</v>
      </c>
      <c r="P1083" s="185"/>
      <c r="Q1083" s="185"/>
    </row>
    <row r="1084" spans="5:17" hidden="1" outlineLevel="1">
      <c r="E1084" s="20"/>
      <c r="F1084" s="21"/>
      <c r="G1084" s="22"/>
      <c r="H1084" s="30" t="s">
        <v>2998</v>
      </c>
      <c r="I1084" s="22">
        <v>60.62</v>
      </c>
      <c r="J1084" s="32"/>
      <c r="K1084" s="10"/>
      <c r="L1084" s="32"/>
      <c r="M1084" s="10"/>
      <c r="N1084" s="33">
        <f t="shared" si="48"/>
        <v>60.62</v>
      </c>
      <c r="O1084" s="58">
        <f t="shared" si="47"/>
        <v>60.62</v>
      </c>
      <c r="P1084" s="185"/>
      <c r="Q1084" s="185"/>
    </row>
    <row r="1085" spans="5:17" hidden="1" outlineLevel="1">
      <c r="E1085" s="20"/>
      <c r="F1085" s="21"/>
      <c r="G1085" s="22"/>
      <c r="H1085" s="30" t="s">
        <v>2886</v>
      </c>
      <c r="I1085" s="22">
        <v>60.62</v>
      </c>
      <c r="J1085" s="32"/>
      <c r="K1085" s="10"/>
      <c r="L1085" s="32"/>
      <c r="M1085" s="10"/>
      <c r="N1085" s="33">
        <f t="shared" si="48"/>
        <v>60.62</v>
      </c>
      <c r="O1085" s="58">
        <f t="shared" si="47"/>
        <v>60.62</v>
      </c>
      <c r="P1085" s="185"/>
      <c r="Q1085" s="185"/>
    </row>
    <row r="1086" spans="5:17" hidden="1" outlineLevel="1">
      <c r="E1086" s="20"/>
      <c r="F1086" s="21"/>
      <c r="G1086" s="22"/>
      <c r="H1086" s="30" t="s">
        <v>2887</v>
      </c>
      <c r="I1086" s="22">
        <v>16.100000000000001</v>
      </c>
      <c r="J1086" s="32"/>
      <c r="K1086" s="10"/>
      <c r="L1086" s="32"/>
      <c r="M1086" s="10"/>
      <c r="N1086" s="33">
        <f t="shared" si="48"/>
        <v>16.100000000000001</v>
      </c>
      <c r="O1086" s="58">
        <f t="shared" si="47"/>
        <v>16.100000000000001</v>
      </c>
      <c r="P1086" s="185"/>
      <c r="Q1086" s="185"/>
    </row>
    <row r="1087" spans="5:17" hidden="1" outlineLevel="1">
      <c r="E1087" s="20"/>
      <c r="F1087" s="21"/>
      <c r="G1087" s="22"/>
      <c r="H1087" s="30" t="s">
        <v>3000</v>
      </c>
      <c r="I1087" s="22">
        <v>60.62</v>
      </c>
      <c r="J1087" s="32"/>
      <c r="K1087" s="10"/>
      <c r="L1087" s="32"/>
      <c r="M1087" s="10"/>
      <c r="N1087" s="33">
        <f>I1087</f>
        <v>60.62</v>
      </c>
      <c r="O1087" s="58">
        <f>ROUND(PRODUCT(J1087:N1087),2)</f>
        <v>60.62</v>
      </c>
      <c r="P1087" s="185"/>
      <c r="Q1087" s="185"/>
    </row>
    <row r="1088" spans="5:17" hidden="1" outlineLevel="1">
      <c r="E1088" s="20"/>
      <c r="F1088" s="21"/>
      <c r="G1088" s="22"/>
      <c r="H1088" s="30" t="s">
        <v>3001</v>
      </c>
      <c r="I1088" s="22">
        <v>11.6</v>
      </c>
      <c r="J1088" s="32"/>
      <c r="K1088" s="10"/>
      <c r="L1088" s="32"/>
      <c r="M1088" s="10"/>
      <c r="N1088" s="33">
        <f t="shared" si="48"/>
        <v>11.6</v>
      </c>
      <c r="O1088" s="58">
        <f t="shared" si="47"/>
        <v>11.6</v>
      </c>
      <c r="P1088" s="185"/>
      <c r="Q1088" s="185"/>
    </row>
    <row r="1089" spans="5:17" hidden="1" outlineLevel="1">
      <c r="E1089" s="20"/>
      <c r="F1089" s="21"/>
      <c r="G1089" s="22"/>
      <c r="H1089" s="30" t="s">
        <v>3002</v>
      </c>
      <c r="I1089" s="22">
        <v>17.5</v>
      </c>
      <c r="J1089" s="32"/>
      <c r="K1089" s="10"/>
      <c r="L1089" s="32"/>
      <c r="M1089" s="10"/>
      <c r="N1089" s="33">
        <f t="shared" si="48"/>
        <v>17.5</v>
      </c>
      <c r="O1089" s="58">
        <f t="shared" si="47"/>
        <v>17.5</v>
      </c>
      <c r="P1089" s="185"/>
      <c r="Q1089" s="185"/>
    </row>
    <row r="1090" spans="5:17" hidden="1" outlineLevel="1">
      <c r="E1090" s="20"/>
      <c r="F1090" s="21"/>
      <c r="G1090" s="22"/>
      <c r="H1090" s="30" t="s">
        <v>2897</v>
      </c>
      <c r="I1090" s="22">
        <v>60.62</v>
      </c>
      <c r="J1090" s="32"/>
      <c r="K1090" s="10"/>
      <c r="L1090" s="32"/>
      <c r="M1090" s="10"/>
      <c r="N1090" s="33">
        <f t="shared" si="48"/>
        <v>60.62</v>
      </c>
      <c r="O1090" s="58">
        <f t="shared" si="47"/>
        <v>60.62</v>
      </c>
      <c r="P1090" s="185"/>
      <c r="Q1090" s="185"/>
    </row>
    <row r="1091" spans="5:17" hidden="1" outlineLevel="1">
      <c r="E1091" s="20"/>
      <c r="F1091" s="21"/>
      <c r="G1091" s="22"/>
      <c r="H1091" s="30" t="s">
        <v>2898</v>
      </c>
      <c r="I1091" s="22">
        <v>60.62</v>
      </c>
      <c r="J1091" s="32"/>
      <c r="K1091" s="10"/>
      <c r="L1091" s="32"/>
      <c r="M1091" s="10"/>
      <c r="N1091" s="33">
        <f t="shared" si="48"/>
        <v>60.62</v>
      </c>
      <c r="O1091" s="58">
        <f t="shared" si="47"/>
        <v>60.62</v>
      </c>
      <c r="P1091" s="185"/>
      <c r="Q1091" s="185"/>
    </row>
    <row r="1092" spans="5:17" hidden="1" outlineLevel="1">
      <c r="E1092" s="20"/>
      <c r="F1092" s="21"/>
      <c r="G1092" s="22"/>
      <c r="H1092" s="30" t="s">
        <v>3003</v>
      </c>
      <c r="I1092" s="22">
        <v>11.6</v>
      </c>
      <c r="J1092" s="32"/>
      <c r="K1092" s="10"/>
      <c r="L1092" s="32"/>
      <c r="M1092" s="10"/>
      <c r="N1092" s="33">
        <f t="shared" si="48"/>
        <v>11.6</v>
      </c>
      <c r="O1092" s="58">
        <f t="shared" si="47"/>
        <v>11.6</v>
      </c>
      <c r="P1092" s="185"/>
      <c r="Q1092" s="185"/>
    </row>
    <row r="1093" spans="5:17" hidden="1" outlineLevel="1">
      <c r="E1093" s="20"/>
      <c r="F1093" s="21"/>
      <c r="G1093" s="22"/>
      <c r="H1093" s="30" t="s">
        <v>3004</v>
      </c>
      <c r="I1093" s="22">
        <v>17.5</v>
      </c>
      <c r="J1093" s="32"/>
      <c r="K1093" s="10"/>
      <c r="L1093" s="32"/>
      <c r="M1093" s="10"/>
      <c r="N1093" s="33">
        <f t="shared" si="48"/>
        <v>17.5</v>
      </c>
      <c r="O1093" s="58">
        <f t="shared" si="47"/>
        <v>17.5</v>
      </c>
      <c r="P1093" s="185"/>
      <c r="Q1093" s="185"/>
    </row>
    <row r="1094" spans="5:17" hidden="1" outlineLevel="1">
      <c r="E1094" s="20"/>
      <c r="F1094" s="21"/>
      <c r="G1094" s="22"/>
      <c r="H1094" s="30" t="s">
        <v>2901</v>
      </c>
      <c r="I1094" s="22">
        <v>60.62</v>
      </c>
      <c r="J1094" s="32"/>
      <c r="K1094" s="10"/>
      <c r="L1094" s="32"/>
      <c r="M1094" s="10"/>
      <c r="N1094" s="33">
        <f t="shared" si="48"/>
        <v>60.62</v>
      </c>
      <c r="O1094" s="58">
        <f t="shared" si="47"/>
        <v>60.62</v>
      </c>
      <c r="P1094" s="185"/>
      <c r="Q1094" s="185"/>
    </row>
    <row r="1095" spans="5:17" hidden="1" outlineLevel="1">
      <c r="E1095" s="20"/>
      <c r="F1095" s="21"/>
      <c r="G1095" s="22"/>
      <c r="H1095" s="30" t="s">
        <v>2891</v>
      </c>
      <c r="I1095" s="22">
        <v>7.44</v>
      </c>
      <c r="J1095" s="32"/>
      <c r="K1095" s="10"/>
      <c r="L1095" s="32"/>
      <c r="M1095" s="10"/>
      <c r="N1095" s="33">
        <f t="shared" si="48"/>
        <v>7.44</v>
      </c>
      <c r="O1095" s="58">
        <f t="shared" si="47"/>
        <v>7.44</v>
      </c>
      <c r="P1095" s="185"/>
      <c r="Q1095" s="185"/>
    </row>
    <row r="1096" spans="5:17" hidden="1" outlineLevel="1">
      <c r="E1096" s="20"/>
      <c r="F1096" s="21"/>
      <c r="G1096" s="22"/>
      <c r="H1096" s="30" t="s">
        <v>2893</v>
      </c>
      <c r="I1096" s="22">
        <v>7.44</v>
      </c>
      <c r="J1096" s="32"/>
      <c r="K1096" s="10"/>
      <c r="L1096" s="32"/>
      <c r="M1096" s="10"/>
      <c r="N1096" s="33">
        <f t="shared" si="48"/>
        <v>7.44</v>
      </c>
      <c r="O1096" s="58">
        <f t="shared" si="47"/>
        <v>7.44</v>
      </c>
      <c r="P1096" s="185"/>
      <c r="Q1096" s="185"/>
    </row>
    <row r="1097" spans="5:17" hidden="1" outlineLevel="1">
      <c r="E1097" s="20"/>
      <c r="F1097" s="21"/>
      <c r="G1097" s="22"/>
      <c r="H1097" s="30" t="s">
        <v>3008</v>
      </c>
      <c r="I1097" s="22">
        <v>7.32</v>
      </c>
      <c r="J1097" s="32"/>
      <c r="K1097" s="10"/>
      <c r="L1097" s="32"/>
      <c r="M1097" s="10"/>
      <c r="N1097" s="33">
        <f t="shared" si="48"/>
        <v>7.32</v>
      </c>
      <c r="O1097" s="58">
        <f t="shared" si="47"/>
        <v>7.32</v>
      </c>
      <c r="P1097" s="185"/>
      <c r="Q1097" s="185"/>
    </row>
    <row r="1098" spans="5:17" hidden="1" outlineLevel="1">
      <c r="E1098" s="20"/>
      <c r="F1098" s="21"/>
      <c r="G1098" s="22"/>
      <c r="H1098" s="30" t="s">
        <v>2902</v>
      </c>
      <c r="I1098" s="22">
        <v>3.58</v>
      </c>
      <c r="J1098" s="32"/>
      <c r="K1098" s="10"/>
      <c r="L1098" s="32"/>
      <c r="M1098" s="10"/>
      <c r="N1098" s="33">
        <f t="shared" si="48"/>
        <v>3.58</v>
      </c>
      <c r="O1098" s="58">
        <f t="shared" si="47"/>
        <v>3.58</v>
      </c>
      <c r="P1098" s="185"/>
      <c r="Q1098" s="185"/>
    </row>
    <row r="1099" spans="5:17" hidden="1" outlineLevel="1">
      <c r="E1099" s="20"/>
      <c r="F1099" s="21"/>
      <c r="G1099" s="22"/>
      <c r="H1099" s="30" t="s">
        <v>2903</v>
      </c>
      <c r="I1099" s="22">
        <v>3.58</v>
      </c>
      <c r="J1099" s="32"/>
      <c r="K1099" s="10"/>
      <c r="L1099" s="32"/>
      <c r="M1099" s="10"/>
      <c r="N1099" s="33">
        <f t="shared" si="48"/>
        <v>3.58</v>
      </c>
      <c r="O1099" s="58">
        <f t="shared" si="47"/>
        <v>3.58</v>
      </c>
      <c r="P1099" s="185"/>
      <c r="Q1099" s="185"/>
    </row>
    <row r="1100" spans="5:17" hidden="1" outlineLevel="1">
      <c r="E1100" s="20"/>
      <c r="F1100" s="21"/>
      <c r="G1100" s="22"/>
      <c r="H1100" s="30" t="s">
        <v>3132</v>
      </c>
      <c r="I1100" s="22">
        <v>15.04</v>
      </c>
      <c r="J1100" s="32"/>
      <c r="K1100" s="10"/>
      <c r="L1100" s="32"/>
      <c r="M1100" s="10"/>
      <c r="N1100" s="33">
        <f t="shared" si="48"/>
        <v>15.04</v>
      </c>
      <c r="O1100" s="58">
        <f t="shared" si="47"/>
        <v>15.04</v>
      </c>
      <c r="P1100" s="185"/>
      <c r="Q1100" s="185"/>
    </row>
    <row r="1101" spans="5:17" hidden="1" outlineLevel="1">
      <c r="E1101" s="20"/>
      <c r="F1101" s="21"/>
      <c r="G1101" s="22"/>
      <c r="H1101" s="30" t="s">
        <v>2976</v>
      </c>
      <c r="I1101" s="22">
        <v>15.04</v>
      </c>
      <c r="J1101" s="32"/>
      <c r="K1101" s="10"/>
      <c r="L1101" s="32"/>
      <c r="M1101" s="10"/>
      <c r="N1101" s="33">
        <f t="shared" si="48"/>
        <v>15.04</v>
      </c>
      <c r="O1101" s="58">
        <f t="shared" si="47"/>
        <v>15.04</v>
      </c>
      <c r="P1101" s="185"/>
      <c r="Q1101" s="185"/>
    </row>
    <row r="1102" spans="5:17" hidden="1" outlineLevel="1">
      <c r="E1102" s="20"/>
      <c r="F1102" s="21"/>
      <c r="G1102" s="22"/>
      <c r="H1102" s="30" t="s">
        <v>3133</v>
      </c>
      <c r="I1102" s="22">
        <v>6.07</v>
      </c>
      <c r="J1102" s="32"/>
      <c r="K1102" s="10"/>
      <c r="L1102" s="32"/>
      <c r="M1102" s="10"/>
      <c r="N1102" s="33">
        <f>I1102</f>
        <v>6.07</v>
      </c>
      <c r="O1102" s="58">
        <f>ROUND(PRODUCT(J1102:N1102),2)</f>
        <v>6.07</v>
      </c>
      <c r="P1102" s="185"/>
      <c r="Q1102" s="185"/>
    </row>
    <row r="1103" spans="5:17" hidden="1" outlineLevel="1">
      <c r="E1103" s="20"/>
      <c r="F1103" s="21"/>
      <c r="G1103" s="22"/>
      <c r="H1103" s="30" t="s">
        <v>3134</v>
      </c>
      <c r="I1103" s="22">
        <v>6.07</v>
      </c>
      <c r="J1103" s="32"/>
      <c r="K1103" s="10"/>
      <c r="L1103" s="32"/>
      <c r="M1103" s="10"/>
      <c r="N1103" s="33">
        <f>I1103</f>
        <v>6.07</v>
      </c>
      <c r="O1103" s="58">
        <f>ROUND(PRODUCT(J1103:N1103),2)</f>
        <v>6.07</v>
      </c>
      <c r="P1103" s="185"/>
      <c r="Q1103" s="185"/>
    </row>
    <row r="1104" spans="5:17" hidden="1" outlineLevel="1">
      <c r="E1104" s="20"/>
      <c r="F1104" s="21"/>
      <c r="G1104" s="22"/>
      <c r="H1104" s="30" t="s">
        <v>3032</v>
      </c>
      <c r="I1104" s="22">
        <v>3.33</v>
      </c>
      <c r="J1104" s="32"/>
      <c r="K1104" s="10"/>
      <c r="L1104" s="32"/>
      <c r="M1104" s="10"/>
      <c r="N1104" s="33">
        <f>I1104</f>
        <v>3.33</v>
      </c>
      <c r="O1104" s="58">
        <f>ROUND(PRODUCT(J1104:N1104),2)</f>
        <v>3.33</v>
      </c>
      <c r="P1104" s="185"/>
      <c r="Q1104" s="185"/>
    </row>
    <row r="1105" spans="5:17" hidden="1" outlineLevel="1">
      <c r="E1105" s="20"/>
      <c r="F1105" s="21"/>
      <c r="G1105" s="22"/>
      <c r="H1105" s="30" t="s">
        <v>3009</v>
      </c>
      <c r="I1105" s="22">
        <v>1.94</v>
      </c>
      <c r="J1105" s="32"/>
      <c r="K1105" s="10"/>
      <c r="L1105" s="32"/>
      <c r="M1105" s="10"/>
      <c r="N1105" s="33">
        <f>I1105</f>
        <v>1.94</v>
      </c>
      <c r="O1105" s="58">
        <f>ROUND(PRODUCT(J1105:N1105),2)</f>
        <v>1.94</v>
      </c>
      <c r="P1105" s="185"/>
      <c r="Q1105" s="185"/>
    </row>
    <row r="1106" spans="5:17" hidden="1" outlineLevel="1">
      <c r="E1106" s="20"/>
      <c r="F1106" s="21"/>
      <c r="G1106" s="22"/>
      <c r="H1106" s="24" t="s">
        <v>3037</v>
      </c>
      <c r="I1106" s="62"/>
      <c r="J1106" s="37"/>
      <c r="K1106" s="37"/>
      <c r="L1106" s="37"/>
      <c r="M1106" s="38"/>
      <c r="N1106" s="38"/>
      <c r="O1106" s="58"/>
      <c r="P1106" s="185"/>
      <c r="Q1106" s="185"/>
    </row>
    <row r="1107" spans="5:17" hidden="1" outlineLevel="1">
      <c r="E1107" s="20"/>
      <c r="F1107" s="21"/>
      <c r="G1107" s="22"/>
      <c r="H1107" s="30" t="s">
        <v>3018</v>
      </c>
      <c r="I1107" s="22">
        <v>60.63</v>
      </c>
      <c r="J1107" s="32"/>
      <c r="K1107" s="10"/>
      <c r="L1107" s="32"/>
      <c r="M1107" s="10"/>
      <c r="N1107" s="33">
        <f t="shared" ref="N1107:N1119" si="49">I1107</f>
        <v>60.63</v>
      </c>
      <c r="O1107" s="58">
        <f t="shared" ref="O1107:O1119" si="50">ROUND(PRODUCT(J1107:N1107),2)</f>
        <v>60.63</v>
      </c>
      <c r="P1107" s="185"/>
      <c r="Q1107" s="185"/>
    </row>
    <row r="1108" spans="5:17" hidden="1" outlineLevel="1">
      <c r="E1108" s="20"/>
      <c r="F1108" s="21"/>
      <c r="G1108" s="22"/>
      <c r="H1108" s="30" t="s">
        <v>3019</v>
      </c>
      <c r="I1108" s="22">
        <v>60.63</v>
      </c>
      <c r="J1108" s="32"/>
      <c r="K1108" s="10"/>
      <c r="L1108" s="32"/>
      <c r="M1108" s="10"/>
      <c r="N1108" s="33">
        <f t="shared" si="49"/>
        <v>60.63</v>
      </c>
      <c r="O1108" s="58">
        <f t="shared" si="50"/>
        <v>60.63</v>
      </c>
      <c r="P1108" s="185"/>
      <c r="Q1108" s="185"/>
    </row>
    <row r="1109" spans="5:17" hidden="1" outlineLevel="1">
      <c r="E1109" s="20"/>
      <c r="F1109" s="21"/>
      <c r="G1109" s="22"/>
      <c r="H1109" s="30" t="s">
        <v>3020</v>
      </c>
      <c r="I1109" s="22">
        <v>60.63</v>
      </c>
      <c r="J1109" s="32"/>
      <c r="K1109" s="10"/>
      <c r="L1109" s="32"/>
      <c r="M1109" s="10"/>
      <c r="N1109" s="33">
        <f t="shared" si="49"/>
        <v>60.63</v>
      </c>
      <c r="O1109" s="58">
        <f t="shared" si="50"/>
        <v>60.63</v>
      </c>
      <c r="P1109" s="185"/>
      <c r="Q1109" s="185"/>
    </row>
    <row r="1110" spans="5:17" hidden="1" outlineLevel="1">
      <c r="E1110" s="20"/>
      <c r="F1110" s="21"/>
      <c r="G1110" s="22"/>
      <c r="H1110" s="30" t="s">
        <v>3021</v>
      </c>
      <c r="I1110" s="22">
        <v>60.63</v>
      </c>
      <c r="J1110" s="32"/>
      <c r="K1110" s="10"/>
      <c r="L1110" s="32"/>
      <c r="M1110" s="10"/>
      <c r="N1110" s="33">
        <f t="shared" si="49"/>
        <v>60.63</v>
      </c>
      <c r="O1110" s="58">
        <f t="shared" si="50"/>
        <v>60.63</v>
      </c>
      <c r="P1110" s="185"/>
      <c r="Q1110" s="185"/>
    </row>
    <row r="1111" spans="5:17" hidden="1" outlineLevel="1">
      <c r="E1111" s="20"/>
      <c r="F1111" s="21"/>
      <c r="G1111" s="22"/>
      <c r="H1111" s="30" t="s">
        <v>3022</v>
      </c>
      <c r="I1111" s="22">
        <v>60.63</v>
      </c>
      <c r="J1111" s="32"/>
      <c r="K1111" s="10"/>
      <c r="L1111" s="32"/>
      <c r="M1111" s="10"/>
      <c r="N1111" s="33">
        <f t="shared" si="49"/>
        <v>60.63</v>
      </c>
      <c r="O1111" s="58">
        <f t="shared" si="50"/>
        <v>60.63</v>
      </c>
      <c r="P1111" s="185"/>
      <c r="Q1111" s="185"/>
    </row>
    <row r="1112" spans="5:17" hidden="1" outlineLevel="1">
      <c r="E1112" s="20"/>
      <c r="F1112" s="21"/>
      <c r="G1112" s="22"/>
      <c r="H1112" s="30" t="s">
        <v>3023</v>
      </c>
      <c r="I1112" s="22">
        <v>60.62</v>
      </c>
      <c r="J1112" s="32"/>
      <c r="K1112" s="10"/>
      <c r="L1112" s="32"/>
      <c r="M1112" s="10"/>
      <c r="N1112" s="33">
        <f t="shared" si="49"/>
        <v>60.62</v>
      </c>
      <c r="O1112" s="58">
        <f t="shared" si="50"/>
        <v>60.62</v>
      </c>
      <c r="P1112" s="185"/>
      <c r="Q1112" s="185"/>
    </row>
    <row r="1113" spans="5:17" hidden="1" outlineLevel="1">
      <c r="E1113" s="20"/>
      <c r="F1113" s="21"/>
      <c r="G1113" s="22"/>
      <c r="H1113" s="30" t="s">
        <v>3024</v>
      </c>
      <c r="I1113" s="22">
        <v>60.62</v>
      </c>
      <c r="J1113" s="32"/>
      <c r="K1113" s="10"/>
      <c r="L1113" s="32"/>
      <c r="M1113" s="10"/>
      <c r="N1113" s="33">
        <f t="shared" si="49"/>
        <v>60.62</v>
      </c>
      <c r="O1113" s="58">
        <f t="shared" si="50"/>
        <v>60.62</v>
      </c>
      <c r="P1113" s="185"/>
      <c r="Q1113" s="185"/>
    </row>
    <row r="1114" spans="5:17" hidden="1" outlineLevel="1">
      <c r="E1114" s="20"/>
      <c r="F1114" s="21"/>
      <c r="G1114" s="22"/>
      <c r="H1114" s="30" t="s">
        <v>3025</v>
      </c>
      <c r="I1114" s="22">
        <v>60.63</v>
      </c>
      <c r="J1114" s="32"/>
      <c r="K1114" s="100"/>
      <c r="L1114" s="32"/>
      <c r="M1114" s="10"/>
      <c r="N1114" s="33">
        <f t="shared" si="49"/>
        <v>60.63</v>
      </c>
      <c r="O1114" s="58">
        <f t="shared" si="50"/>
        <v>60.63</v>
      </c>
      <c r="P1114" s="185"/>
      <c r="Q1114" s="185"/>
    </row>
    <row r="1115" spans="5:17" hidden="1" outlineLevel="1">
      <c r="E1115" s="20"/>
      <c r="F1115" s="21"/>
      <c r="G1115" s="22"/>
      <c r="H1115" s="30" t="s">
        <v>3026</v>
      </c>
      <c r="I1115" s="22">
        <v>60.63</v>
      </c>
      <c r="J1115" s="32"/>
      <c r="K1115" s="10"/>
      <c r="L1115" s="32"/>
      <c r="M1115" s="10"/>
      <c r="N1115" s="33">
        <f t="shared" si="49"/>
        <v>60.63</v>
      </c>
      <c r="O1115" s="58">
        <f t="shared" si="50"/>
        <v>60.63</v>
      </c>
      <c r="P1115" s="185"/>
      <c r="Q1115" s="185"/>
    </row>
    <row r="1116" spans="5:17" hidden="1" outlineLevel="1">
      <c r="E1116" s="20"/>
      <c r="F1116" s="21"/>
      <c r="G1116" s="22"/>
      <c r="H1116" s="30" t="s">
        <v>3027</v>
      </c>
      <c r="I1116" s="22">
        <v>60.63</v>
      </c>
      <c r="J1116" s="32"/>
      <c r="K1116" s="10"/>
      <c r="L1116" s="32"/>
      <c r="M1116" s="10"/>
      <c r="N1116" s="33">
        <f t="shared" si="49"/>
        <v>60.63</v>
      </c>
      <c r="O1116" s="58">
        <f t="shared" si="50"/>
        <v>60.63</v>
      </c>
      <c r="P1116" s="185"/>
      <c r="Q1116" s="185"/>
    </row>
    <row r="1117" spans="5:17" hidden="1" outlineLevel="1">
      <c r="E1117" s="20"/>
      <c r="F1117" s="21"/>
      <c r="G1117" s="22"/>
      <c r="H1117" s="30" t="s">
        <v>3028</v>
      </c>
      <c r="I1117" s="22">
        <v>60.63</v>
      </c>
      <c r="J1117" s="32"/>
      <c r="K1117" s="10"/>
      <c r="L1117" s="32"/>
      <c r="M1117" s="10"/>
      <c r="N1117" s="33">
        <f t="shared" si="49"/>
        <v>60.63</v>
      </c>
      <c r="O1117" s="58">
        <f t="shared" si="50"/>
        <v>60.63</v>
      </c>
      <c r="P1117" s="185"/>
      <c r="Q1117" s="185"/>
    </row>
    <row r="1118" spans="5:17" hidden="1" outlineLevel="1">
      <c r="E1118" s="20"/>
      <c r="F1118" s="21"/>
      <c r="G1118" s="22"/>
      <c r="H1118" s="30" t="s">
        <v>3029</v>
      </c>
      <c r="I1118" s="22">
        <v>60.63</v>
      </c>
      <c r="J1118" s="32"/>
      <c r="K1118" s="10"/>
      <c r="L1118" s="32"/>
      <c r="M1118" s="10"/>
      <c r="N1118" s="33">
        <f t="shared" si="49"/>
        <v>60.63</v>
      </c>
      <c r="O1118" s="58">
        <f t="shared" si="50"/>
        <v>60.63</v>
      </c>
      <c r="P1118" s="185"/>
      <c r="Q1118" s="185"/>
    </row>
    <row r="1119" spans="5:17" hidden="1" outlineLevel="1">
      <c r="E1119" s="20"/>
      <c r="F1119" s="21"/>
      <c r="G1119" s="22"/>
      <c r="H1119" s="30" t="s">
        <v>2999</v>
      </c>
      <c r="I1119" s="22">
        <v>258.12</v>
      </c>
      <c r="J1119" s="32"/>
      <c r="K1119" s="10"/>
      <c r="L1119" s="32"/>
      <c r="M1119" s="10"/>
      <c r="N1119" s="33">
        <f t="shared" si="49"/>
        <v>258.12</v>
      </c>
      <c r="O1119" s="58">
        <f t="shared" si="50"/>
        <v>258.12</v>
      </c>
      <c r="P1119" s="185"/>
      <c r="Q1119" s="185"/>
    </row>
    <row r="1120" spans="5:17" hidden="1" outlineLevel="1">
      <c r="E1120" s="20"/>
      <c r="F1120" s="21"/>
      <c r="G1120" s="22"/>
      <c r="H1120" s="30" t="s">
        <v>3135</v>
      </c>
      <c r="I1120" s="22">
        <v>7.44</v>
      </c>
      <c r="J1120" s="32"/>
      <c r="K1120" s="10"/>
      <c r="L1120" s="32"/>
      <c r="M1120" s="10"/>
      <c r="N1120" s="33">
        <f>I1120</f>
        <v>7.44</v>
      </c>
      <c r="O1120" s="58">
        <f>ROUND(PRODUCT(J1120:N1120),2)</f>
        <v>7.44</v>
      </c>
      <c r="P1120" s="185"/>
      <c r="Q1120" s="185"/>
    </row>
    <row r="1121" spans="1:17" hidden="1" outlineLevel="1">
      <c r="E1121" s="20"/>
      <c r="F1121" s="21"/>
      <c r="G1121" s="22"/>
      <c r="H1121" s="30" t="s">
        <v>2902</v>
      </c>
      <c r="I1121" s="22">
        <v>4.3499999999999996</v>
      </c>
      <c r="J1121" s="32"/>
      <c r="K1121" s="10"/>
      <c r="L1121" s="32"/>
      <c r="M1121" s="10"/>
      <c r="N1121" s="33">
        <f>I1121</f>
        <v>4.3499999999999996</v>
      </c>
      <c r="O1121" s="58">
        <f>ROUND(PRODUCT(J1121:N1121),2)</f>
        <v>4.3499999999999996</v>
      </c>
      <c r="P1121" s="185"/>
      <c r="Q1121" s="185"/>
    </row>
    <row r="1122" spans="1:17" hidden="1" outlineLevel="1">
      <c r="E1122" s="20"/>
      <c r="F1122" s="21"/>
      <c r="G1122" s="22"/>
      <c r="H1122" s="30" t="s">
        <v>2903</v>
      </c>
      <c r="I1122" s="22">
        <v>3.78</v>
      </c>
      <c r="J1122" s="32"/>
      <c r="K1122" s="10"/>
      <c r="L1122" s="32"/>
      <c r="M1122" s="10"/>
      <c r="N1122" s="33">
        <f>I1122</f>
        <v>3.78</v>
      </c>
      <c r="O1122" s="58">
        <f>ROUND(PRODUCT(J1122:N1122),2)</f>
        <v>3.78</v>
      </c>
      <c r="P1122" s="185"/>
      <c r="Q1122" s="185"/>
    </row>
    <row r="1123" spans="1:17" hidden="1" outlineLevel="1">
      <c r="E1123" s="20"/>
      <c r="F1123" s="21"/>
      <c r="G1123" s="22"/>
      <c r="H1123" s="30" t="s">
        <v>2975</v>
      </c>
      <c r="I1123" s="22">
        <v>21.27</v>
      </c>
      <c r="J1123" s="32"/>
      <c r="K1123" s="10"/>
      <c r="L1123" s="32"/>
      <c r="M1123" s="10"/>
      <c r="N1123" s="33">
        <f>I1123</f>
        <v>21.27</v>
      </c>
      <c r="O1123" s="58">
        <f>ROUND(PRODUCT(J1123:N1123),2)</f>
        <v>21.27</v>
      </c>
      <c r="P1123" s="185"/>
      <c r="Q1123" s="185"/>
    </row>
    <row r="1124" spans="1:17" hidden="1" outlineLevel="1">
      <c r="E1124" s="20"/>
      <c r="F1124" s="21"/>
      <c r="G1124" s="22"/>
      <c r="H1124" s="30" t="s">
        <v>2976</v>
      </c>
      <c r="I1124" s="22">
        <v>21.27</v>
      </c>
      <c r="J1124" s="32"/>
      <c r="K1124" s="10"/>
      <c r="L1124" s="32"/>
      <c r="M1124" s="10"/>
      <c r="N1124" s="33">
        <f>I1124</f>
        <v>21.27</v>
      </c>
      <c r="O1124" s="58">
        <f>ROUND(PRODUCT(J1124:N1124),2)</f>
        <v>21.27</v>
      </c>
      <c r="P1124" s="185"/>
      <c r="Q1124" s="185"/>
    </row>
    <row r="1125" spans="1:17" collapsed="1">
      <c r="E1125" s="52" t="s">
        <v>3136</v>
      </c>
      <c r="F1125" s="53" t="s">
        <v>3136</v>
      </c>
      <c r="G1125" s="13"/>
      <c r="H1125" s="14" t="s">
        <v>302</v>
      </c>
      <c r="I1125" s="15"/>
      <c r="J1125" s="16"/>
      <c r="K1125" s="17"/>
      <c r="L1125" s="16"/>
      <c r="M1125" s="17"/>
      <c r="N1125" s="18"/>
      <c r="O1125" s="19"/>
      <c r="P1125" s="185"/>
      <c r="Q1125" s="185"/>
    </row>
    <row r="1126" spans="1:17" ht="60" hidden="1" outlineLevel="1">
      <c r="A1126" s="2">
        <v>5</v>
      </c>
      <c r="B1126" s="2">
        <v>9</v>
      </c>
      <c r="C1126" s="2">
        <v>1</v>
      </c>
      <c r="E1126" s="20" t="str">
        <f>CONCATENATE(A1126,".",B1126,".",C1126)</f>
        <v>5.9.1</v>
      </c>
      <c r="F1126" s="21" t="s">
        <v>3137</v>
      </c>
      <c r="G1126" s="22" t="s">
        <v>304</v>
      </c>
      <c r="H1126" s="23" t="s">
        <v>305</v>
      </c>
      <c r="I1126" s="24" t="s">
        <v>36</v>
      </c>
      <c r="J1126" s="32"/>
      <c r="K1126" s="10"/>
      <c r="L1126" s="32"/>
      <c r="M1126" s="10"/>
      <c r="N1126" s="33"/>
      <c r="O1126" s="11">
        <f>SUM(O1127:O1127)</f>
        <v>17</v>
      </c>
      <c r="P1126" s="185"/>
      <c r="Q1126" s="185"/>
    </row>
    <row r="1127" spans="1:17" hidden="1" outlineLevel="2">
      <c r="E1127" s="20"/>
      <c r="F1127" s="21"/>
      <c r="G1127" s="22"/>
      <c r="H1127" s="30" t="s">
        <v>3138</v>
      </c>
      <c r="I1127" s="62"/>
      <c r="J1127" s="37"/>
      <c r="K1127" s="38"/>
      <c r="L1127" s="37"/>
      <c r="M1127" s="38"/>
      <c r="N1127" s="38">
        <v>17</v>
      </c>
      <c r="O1127" s="58">
        <f>ROUND(PRODUCT(J1127:N1127),2)</f>
        <v>17</v>
      </c>
      <c r="P1127" s="185"/>
      <c r="Q1127" s="185"/>
    </row>
    <row r="1128" spans="1:17" ht="30" hidden="1" outlineLevel="1">
      <c r="A1128" s="2">
        <v>5</v>
      </c>
      <c r="B1128" s="2">
        <v>9</v>
      </c>
      <c r="C1128" s="2">
        <f>1+C1124</f>
        <v>1</v>
      </c>
      <c r="E1128" s="20" t="str">
        <f>CONCATENATE(A1128,".",B1128,".",C1128)</f>
        <v>5.9.1</v>
      </c>
      <c r="F1128" s="21" t="s">
        <v>3139</v>
      </c>
      <c r="G1128" s="22">
        <v>94805</v>
      </c>
      <c r="H1128" s="23" t="s">
        <v>1037</v>
      </c>
      <c r="I1128" s="24" t="s">
        <v>276</v>
      </c>
      <c r="J1128" s="32"/>
      <c r="K1128" s="10"/>
      <c r="L1128" s="32"/>
      <c r="M1128" s="10"/>
      <c r="N1128" s="33"/>
      <c r="O1128" s="11">
        <f>SUM(O1129:O1130)</f>
        <v>34.56</v>
      </c>
      <c r="P1128" s="185"/>
      <c r="Q1128" s="185"/>
    </row>
    <row r="1129" spans="1:17" hidden="1" outlineLevel="2">
      <c r="E1129" s="20"/>
      <c r="F1129" s="21"/>
      <c r="G1129" s="22"/>
      <c r="H1129" s="30" t="s">
        <v>3140</v>
      </c>
      <c r="I1129" s="62"/>
      <c r="J1129" s="37"/>
      <c r="K1129" s="38"/>
      <c r="L1129" s="37">
        <v>0.8</v>
      </c>
      <c r="M1129" s="38">
        <v>1.8</v>
      </c>
      <c r="N1129" s="38">
        <v>12</v>
      </c>
      <c r="O1129" s="58">
        <f>PRODUCT(L1129:N1129)</f>
        <v>17.28</v>
      </c>
      <c r="P1129" s="185"/>
      <c r="Q1129" s="185"/>
    </row>
    <row r="1130" spans="1:17" hidden="1" outlineLevel="2">
      <c r="E1130" s="20"/>
      <c r="F1130" s="21"/>
      <c r="G1130" s="22"/>
      <c r="H1130" s="30" t="s">
        <v>3141</v>
      </c>
      <c r="I1130" s="62"/>
      <c r="J1130" s="37"/>
      <c r="K1130" s="38"/>
      <c r="L1130" s="37">
        <v>0.8</v>
      </c>
      <c r="M1130" s="38">
        <v>1.8</v>
      </c>
      <c r="N1130" s="38">
        <v>12</v>
      </c>
      <c r="O1130" s="58">
        <f>PRODUCT(L1130:N1130)</f>
        <v>17.28</v>
      </c>
      <c r="P1130" s="185"/>
      <c r="Q1130" s="185"/>
    </row>
    <row r="1131" spans="1:17" ht="30" hidden="1" outlineLevel="1">
      <c r="A1131" s="2">
        <v>5</v>
      </c>
      <c r="B1131" s="2">
        <v>9</v>
      </c>
      <c r="C1131" s="2">
        <f>1+C1126</f>
        <v>2</v>
      </c>
      <c r="E1131" s="20" t="str">
        <f>CONCATENATE(A1131,".",B1131,".",C1131)</f>
        <v>5.9.2</v>
      </c>
      <c r="F1131" s="21" t="s">
        <v>3142</v>
      </c>
      <c r="G1131" s="22">
        <v>2304</v>
      </c>
      <c r="H1131" s="23" t="s">
        <v>311</v>
      </c>
      <c r="I1131" s="24" t="s">
        <v>36</v>
      </c>
      <c r="J1131" s="32"/>
      <c r="K1131" s="10"/>
      <c r="L1131" s="32"/>
      <c r="M1131" s="10"/>
      <c r="N1131" s="33"/>
      <c r="O1131" s="11">
        <f>SUM(O1132:O1133)</f>
        <v>19</v>
      </c>
      <c r="P1131" s="185"/>
      <c r="Q1131" s="185"/>
    </row>
    <row r="1132" spans="1:17" hidden="1" outlineLevel="2">
      <c r="E1132" s="20"/>
      <c r="F1132" s="21"/>
      <c r="G1132" s="22"/>
      <c r="H1132" s="30" t="s">
        <v>2873</v>
      </c>
      <c r="I1132" s="62"/>
      <c r="J1132" s="37"/>
      <c r="K1132" s="38"/>
      <c r="L1132" s="37"/>
      <c r="M1132" s="38"/>
      <c r="N1132" s="38">
        <v>7</v>
      </c>
      <c r="O1132" s="58">
        <f>ROUND(PRODUCT(J1132:N1132),2)</f>
        <v>7</v>
      </c>
      <c r="P1132" s="185"/>
      <c r="Q1132" s="185"/>
    </row>
    <row r="1133" spans="1:17" hidden="1" outlineLevel="2">
      <c r="E1133" s="20"/>
      <c r="F1133" s="21"/>
      <c r="G1133" s="22"/>
      <c r="H1133" s="30" t="s">
        <v>2910</v>
      </c>
      <c r="I1133" s="62"/>
      <c r="J1133" s="37"/>
      <c r="K1133" s="38"/>
      <c r="L1133" s="37"/>
      <c r="M1133" s="38"/>
      <c r="N1133" s="38">
        <v>12</v>
      </c>
      <c r="O1133" s="58">
        <f>ROUND(PRODUCT(J1133:N1133),2)</f>
        <v>12</v>
      </c>
      <c r="P1133" s="185"/>
      <c r="Q1133" s="185"/>
    </row>
    <row r="1134" spans="1:17" ht="30" hidden="1" outlineLevel="2">
      <c r="E1134" s="20"/>
      <c r="F1134" s="21" t="s">
        <v>3143</v>
      </c>
      <c r="G1134" s="22">
        <v>2299</v>
      </c>
      <c r="H1134" s="23" t="s">
        <v>314</v>
      </c>
      <c r="I1134" s="24" t="s">
        <v>36</v>
      </c>
      <c r="J1134" s="32"/>
      <c r="K1134" s="10"/>
      <c r="L1134" s="32"/>
      <c r="M1134" s="10"/>
      <c r="N1134" s="33"/>
      <c r="O1134" s="11">
        <f>SUM(O1135)</f>
        <v>1</v>
      </c>
      <c r="P1134" s="185"/>
      <c r="Q1134" s="185"/>
    </row>
    <row r="1135" spans="1:17" hidden="1" outlineLevel="2">
      <c r="E1135" s="20"/>
      <c r="F1135" s="21"/>
      <c r="G1135" s="22"/>
      <c r="H1135" s="30"/>
      <c r="I1135" s="62"/>
      <c r="J1135" s="37"/>
      <c r="K1135" s="38"/>
      <c r="L1135" s="37"/>
      <c r="M1135" s="38"/>
      <c r="N1135" s="38">
        <v>1</v>
      </c>
      <c r="O1135" s="58">
        <f>ROUND(PRODUCT(J1135:N1135),2)</f>
        <v>1</v>
      </c>
      <c r="P1135" s="185"/>
      <c r="Q1135" s="185"/>
    </row>
    <row r="1136" spans="1:17" ht="45" hidden="1" outlineLevel="1">
      <c r="A1136" s="2">
        <v>5</v>
      </c>
      <c r="B1136" s="2">
        <v>9</v>
      </c>
      <c r="C1136" s="2">
        <f>1+C1131</f>
        <v>3</v>
      </c>
      <c r="E1136" s="20" t="str">
        <f>CONCATENATE(A1136,".",B1136,".",C1136)</f>
        <v>5.9.3</v>
      </c>
      <c r="F1136" s="21" t="s">
        <v>3144</v>
      </c>
      <c r="G1136" s="22">
        <v>94573</v>
      </c>
      <c r="H1136" s="23" t="s">
        <v>3145</v>
      </c>
      <c r="I1136" s="24" t="s">
        <v>45</v>
      </c>
      <c r="J1136" s="32"/>
      <c r="K1136" s="10"/>
      <c r="L1136" s="32"/>
      <c r="M1136" s="10"/>
      <c r="N1136" s="33"/>
      <c r="O1136" s="11">
        <f>SUM(O1137)</f>
        <v>2.52</v>
      </c>
      <c r="P1136" s="185"/>
      <c r="Q1136" s="185"/>
    </row>
    <row r="1137" spans="1:17" hidden="1" outlineLevel="2">
      <c r="E1137" s="20"/>
      <c r="F1137" s="21"/>
      <c r="G1137" s="22"/>
      <c r="H1137" s="30" t="s">
        <v>2948</v>
      </c>
      <c r="I1137" s="62"/>
      <c r="J1137" s="37"/>
      <c r="K1137" s="38">
        <v>3.15</v>
      </c>
      <c r="L1137" s="37"/>
      <c r="M1137" s="38">
        <v>0.8</v>
      </c>
      <c r="N1137" s="38">
        <v>1</v>
      </c>
      <c r="O1137" s="58">
        <f>ROUND(PRODUCT(J1137:N1137),2)</f>
        <v>2.52</v>
      </c>
      <c r="P1137" s="185"/>
      <c r="Q1137" s="185"/>
    </row>
    <row r="1138" spans="1:17" ht="60" hidden="1" outlineLevel="2">
      <c r="E1138" s="20"/>
      <c r="F1138" s="21" t="s">
        <v>3146</v>
      </c>
      <c r="G1138" s="22">
        <v>94559</v>
      </c>
      <c r="H1138" s="23" t="s">
        <v>3147</v>
      </c>
      <c r="I1138" s="24" t="s">
        <v>45</v>
      </c>
      <c r="J1138" s="32"/>
      <c r="K1138" s="10"/>
      <c r="L1138" s="32"/>
      <c r="M1138" s="10"/>
      <c r="N1138" s="33"/>
      <c r="O1138" s="11">
        <f>SUM(O1139:O1151)</f>
        <v>335.02</v>
      </c>
      <c r="P1138" s="185"/>
      <c r="Q1138" s="185"/>
    </row>
    <row r="1139" spans="1:17" hidden="1" outlineLevel="2">
      <c r="E1139" s="20"/>
      <c r="F1139" s="21"/>
      <c r="G1139" s="22"/>
      <c r="H1139" s="30" t="s">
        <v>3148</v>
      </c>
      <c r="I1139" s="62"/>
      <c r="J1139" s="37"/>
      <c r="K1139" s="38">
        <v>0.66</v>
      </c>
      <c r="L1139" s="37">
        <v>0.46</v>
      </c>
      <c r="M1139" s="38"/>
      <c r="N1139" s="38">
        <v>4</v>
      </c>
      <c r="O1139" s="58">
        <f t="shared" ref="O1139:O1151" si="51">ROUND(PRODUCT(J1139:N1139),2)</f>
        <v>1.21</v>
      </c>
      <c r="P1139" s="185"/>
      <c r="Q1139" s="185"/>
    </row>
    <row r="1140" spans="1:17" hidden="1" outlineLevel="2">
      <c r="E1140" s="20"/>
      <c r="F1140" s="21"/>
      <c r="G1140" s="22"/>
      <c r="H1140" s="30" t="s">
        <v>3149</v>
      </c>
      <c r="I1140" s="62"/>
      <c r="J1140" s="37"/>
      <c r="K1140" s="38">
        <v>1.29</v>
      </c>
      <c r="L1140" s="37">
        <v>0.46</v>
      </c>
      <c r="M1140" s="38"/>
      <c r="N1140" s="38">
        <v>6</v>
      </c>
      <c r="O1140" s="58">
        <f t="shared" si="51"/>
        <v>3.56</v>
      </c>
      <c r="P1140" s="185"/>
      <c r="Q1140" s="185"/>
    </row>
    <row r="1141" spans="1:17" hidden="1" outlineLevel="2">
      <c r="E1141" s="20"/>
      <c r="F1141" s="21"/>
      <c r="G1141" s="22"/>
      <c r="H1141" s="30" t="s">
        <v>3150</v>
      </c>
      <c r="I1141" s="62"/>
      <c r="J1141" s="37"/>
      <c r="K1141" s="38">
        <v>1.29</v>
      </c>
      <c r="L1141" s="37">
        <f>0.46+3.78</f>
        <v>4.24</v>
      </c>
      <c r="M1141" s="38"/>
      <c r="N1141" s="38">
        <v>3</v>
      </c>
      <c r="O1141" s="58">
        <f t="shared" si="51"/>
        <v>16.41</v>
      </c>
      <c r="P1141" s="185"/>
      <c r="Q1141" s="185"/>
    </row>
    <row r="1142" spans="1:17" hidden="1" outlineLevel="2">
      <c r="E1142" s="20"/>
      <c r="F1142" s="21"/>
      <c r="G1142" s="22"/>
      <c r="H1142" s="30" t="s">
        <v>3151</v>
      </c>
      <c r="I1142" s="62"/>
      <c r="J1142" s="37"/>
      <c r="K1142" s="38">
        <v>1.92</v>
      </c>
      <c r="L1142" s="37">
        <v>0.66</v>
      </c>
      <c r="M1142" s="38"/>
      <c r="N1142" s="38">
        <v>2</v>
      </c>
      <c r="O1142" s="58">
        <f t="shared" si="51"/>
        <v>2.5299999999999998</v>
      </c>
      <c r="P1142" s="185"/>
      <c r="Q1142" s="185"/>
    </row>
    <row r="1143" spans="1:17" hidden="1" outlineLevel="2">
      <c r="E1143" s="20"/>
      <c r="F1143" s="21"/>
      <c r="G1143" s="22"/>
      <c r="H1143" s="30" t="s">
        <v>3152</v>
      </c>
      <c r="I1143" s="62"/>
      <c r="J1143" s="37"/>
      <c r="K1143" s="38">
        <v>1.92</v>
      </c>
      <c r="L1143" s="37">
        <v>0.46</v>
      </c>
      <c r="M1143" s="38"/>
      <c r="N1143" s="38">
        <v>2</v>
      </c>
      <c r="O1143" s="58">
        <f t="shared" si="51"/>
        <v>1.77</v>
      </c>
      <c r="P1143" s="185"/>
      <c r="Q1143" s="185"/>
    </row>
    <row r="1144" spans="1:17" hidden="1" outlineLevel="2">
      <c r="E1144" s="20"/>
      <c r="F1144" s="21"/>
      <c r="G1144" s="22"/>
      <c r="H1144" s="30" t="s">
        <v>2947</v>
      </c>
      <c r="I1144" s="62"/>
      <c r="J1144" s="37"/>
      <c r="K1144" s="38"/>
      <c r="L1144" s="37">
        <v>0.46</v>
      </c>
      <c r="M1144" s="38"/>
      <c r="N1144" s="38">
        <v>2</v>
      </c>
      <c r="O1144" s="58">
        <f t="shared" si="51"/>
        <v>0.92</v>
      </c>
      <c r="P1144" s="185"/>
      <c r="Q1144" s="185"/>
    </row>
    <row r="1145" spans="1:17" hidden="1" outlineLevel="2">
      <c r="E1145" s="20"/>
      <c r="F1145" s="21"/>
      <c r="G1145" s="22"/>
      <c r="H1145" s="30" t="s">
        <v>2949</v>
      </c>
      <c r="I1145" s="62"/>
      <c r="J1145" s="37"/>
      <c r="K1145" s="38">
        <v>3.81</v>
      </c>
      <c r="L1145" s="37">
        <v>0.46</v>
      </c>
      <c r="M1145" s="38"/>
      <c r="N1145" s="38">
        <v>2</v>
      </c>
      <c r="O1145" s="58">
        <f t="shared" si="51"/>
        <v>3.51</v>
      </c>
      <c r="P1145" s="185"/>
      <c r="Q1145" s="185"/>
    </row>
    <row r="1146" spans="1:17" hidden="1" outlineLevel="2">
      <c r="E1146" s="20"/>
      <c r="F1146" s="21"/>
      <c r="G1146" s="22"/>
      <c r="H1146" s="30" t="s">
        <v>2950</v>
      </c>
      <c r="I1146" s="62"/>
      <c r="J1146" s="37"/>
      <c r="K1146" s="38">
        <v>3.81</v>
      </c>
      <c r="L1146" s="37">
        <v>0.46</v>
      </c>
      <c r="M1146" s="38"/>
      <c r="N1146" s="38">
        <v>41</v>
      </c>
      <c r="O1146" s="58">
        <f t="shared" si="51"/>
        <v>71.86</v>
      </c>
      <c r="P1146" s="185"/>
      <c r="Q1146" s="185"/>
    </row>
    <row r="1147" spans="1:17" hidden="1" outlineLevel="2">
      <c r="E1147" s="20"/>
      <c r="F1147" s="21"/>
      <c r="G1147" s="22"/>
      <c r="H1147" s="30" t="s">
        <v>2951</v>
      </c>
      <c r="I1147" s="62"/>
      <c r="J1147" s="37"/>
      <c r="K1147" s="38">
        <v>3.81</v>
      </c>
      <c r="L1147" s="37">
        <v>1.26</v>
      </c>
      <c r="M1147" s="38"/>
      <c r="N1147" s="38">
        <v>40</v>
      </c>
      <c r="O1147" s="58">
        <f t="shared" si="51"/>
        <v>192.02</v>
      </c>
      <c r="P1147" s="185"/>
      <c r="Q1147" s="185"/>
    </row>
    <row r="1148" spans="1:17" hidden="1" outlineLevel="2">
      <c r="E1148" s="20"/>
      <c r="F1148" s="21"/>
      <c r="G1148" s="22"/>
      <c r="H1148" s="30" t="s">
        <v>2952</v>
      </c>
      <c r="I1148" s="62"/>
      <c r="J1148" s="37"/>
      <c r="K1148" s="38">
        <v>4.4400000000000004</v>
      </c>
      <c r="L1148" s="37">
        <v>1.26</v>
      </c>
      <c r="M1148" s="38"/>
      <c r="N1148" s="38">
        <v>4</v>
      </c>
      <c r="O1148" s="58">
        <f t="shared" si="51"/>
        <v>22.38</v>
      </c>
      <c r="P1148" s="185"/>
      <c r="Q1148" s="185"/>
    </row>
    <row r="1149" spans="1:17" hidden="1" outlineLevel="2">
      <c r="E1149" s="20"/>
      <c r="F1149" s="21"/>
      <c r="G1149" s="22"/>
      <c r="H1149" s="30" t="s">
        <v>2953</v>
      </c>
      <c r="I1149" s="62"/>
      <c r="J1149" s="37"/>
      <c r="K1149" s="38">
        <v>5.64</v>
      </c>
      <c r="L1149" s="37">
        <v>0.46</v>
      </c>
      <c r="M1149" s="38"/>
      <c r="N1149" s="38">
        <v>1</v>
      </c>
      <c r="O1149" s="58">
        <f t="shared" si="51"/>
        <v>2.59</v>
      </c>
      <c r="P1149" s="185"/>
      <c r="Q1149" s="185"/>
    </row>
    <row r="1150" spans="1:17" hidden="1" outlineLevel="2">
      <c r="E1150" s="20"/>
      <c r="F1150" s="21"/>
      <c r="G1150" s="22"/>
      <c r="H1150" s="30" t="s">
        <v>2954</v>
      </c>
      <c r="I1150" s="62"/>
      <c r="J1150" s="37"/>
      <c r="K1150" s="38">
        <v>3.15</v>
      </c>
      <c r="L1150" s="37">
        <v>0.66</v>
      </c>
      <c r="M1150" s="38"/>
      <c r="N1150" s="38">
        <v>4</v>
      </c>
      <c r="O1150" s="58">
        <f t="shared" si="51"/>
        <v>8.32</v>
      </c>
      <c r="P1150" s="185"/>
      <c r="Q1150" s="185"/>
    </row>
    <row r="1151" spans="1:17" hidden="1" outlineLevel="2">
      <c r="E1151" s="20"/>
      <c r="F1151" s="21"/>
      <c r="G1151" s="22"/>
      <c r="H1151" s="30" t="s">
        <v>2955</v>
      </c>
      <c r="I1151" s="62"/>
      <c r="J1151" s="37"/>
      <c r="K1151" s="38">
        <v>3.15</v>
      </c>
      <c r="L1151" s="37">
        <v>1.26</v>
      </c>
      <c r="M1151" s="38"/>
      <c r="N1151" s="38">
        <v>2</v>
      </c>
      <c r="O1151" s="58">
        <f t="shared" si="51"/>
        <v>7.94</v>
      </c>
      <c r="P1151" s="185"/>
      <c r="Q1151" s="185"/>
    </row>
    <row r="1152" spans="1:17" ht="30" hidden="1" outlineLevel="1">
      <c r="A1152" s="2">
        <v>5</v>
      </c>
      <c r="B1152" s="2">
        <v>9</v>
      </c>
      <c r="C1152" s="2" t="e">
        <f>1+#REF!</f>
        <v>#REF!</v>
      </c>
      <c r="E1152" s="20" t="e">
        <f>CONCATENATE(A1152,".",B1152,".",C1152)</f>
        <v>#REF!</v>
      </c>
      <c r="F1152" s="21" t="s">
        <v>3153</v>
      </c>
      <c r="G1152" s="22">
        <v>102184</v>
      </c>
      <c r="H1152" s="23" t="s">
        <v>323</v>
      </c>
      <c r="I1152" s="24" t="s">
        <v>36</v>
      </c>
      <c r="J1152" s="32"/>
      <c r="K1152" s="10"/>
      <c r="L1152" s="32"/>
      <c r="M1152" s="10"/>
      <c r="N1152" s="33"/>
      <c r="O1152" s="11">
        <f>O1153</f>
        <v>2</v>
      </c>
      <c r="P1152" s="185"/>
      <c r="Q1152" s="185"/>
    </row>
    <row r="1153" spans="1:17" hidden="1" outlineLevel="2">
      <c r="E1153" s="20"/>
      <c r="F1153" s="21"/>
      <c r="G1153" s="22"/>
      <c r="H1153" s="30"/>
      <c r="I1153" s="62"/>
      <c r="J1153" s="37"/>
      <c r="K1153" s="38"/>
      <c r="L1153" s="37"/>
      <c r="M1153" s="38"/>
      <c r="N1153" s="38">
        <v>2</v>
      </c>
      <c r="O1153" s="58">
        <f>ROUND(PRODUCT(J1153:N1153),2)</f>
        <v>2</v>
      </c>
      <c r="P1153" s="185"/>
      <c r="Q1153" s="185"/>
    </row>
    <row r="1154" spans="1:17" ht="45" hidden="1" outlineLevel="2">
      <c r="E1154" s="20"/>
      <c r="F1154" s="21" t="s">
        <v>3154</v>
      </c>
      <c r="G1154" s="22">
        <v>2310</v>
      </c>
      <c r="H1154" s="23" t="s">
        <v>326</v>
      </c>
      <c r="I1154" s="24" t="s">
        <v>36</v>
      </c>
      <c r="J1154" s="32"/>
      <c r="K1154" s="10"/>
      <c r="L1154" s="32"/>
      <c r="M1154" s="10"/>
      <c r="N1154" s="33"/>
      <c r="O1154" s="11">
        <f>O1155</f>
        <v>2</v>
      </c>
      <c r="P1154" s="185"/>
      <c r="Q1154" s="185"/>
    </row>
    <row r="1155" spans="1:17" hidden="1" outlineLevel="2">
      <c r="E1155" s="20"/>
      <c r="F1155" s="21"/>
      <c r="G1155" s="22"/>
      <c r="H1155" s="30"/>
      <c r="I1155" s="62"/>
      <c r="J1155" s="37"/>
      <c r="K1155" s="38"/>
      <c r="L1155" s="37"/>
      <c r="M1155" s="38"/>
      <c r="N1155" s="38">
        <v>2</v>
      </c>
      <c r="O1155" s="58">
        <f>ROUND(PRODUCT(J1155:N1155),2)</f>
        <v>2</v>
      </c>
      <c r="P1155" s="185"/>
      <c r="Q1155" s="185"/>
    </row>
    <row r="1156" spans="1:17" ht="45" hidden="1" outlineLevel="2">
      <c r="E1156" s="20"/>
      <c r="F1156" s="21" t="s">
        <v>3155</v>
      </c>
      <c r="G1156" s="22">
        <v>2308</v>
      </c>
      <c r="H1156" s="23" t="s">
        <v>329</v>
      </c>
      <c r="I1156" s="24" t="s">
        <v>36</v>
      </c>
      <c r="J1156" s="32"/>
      <c r="K1156" s="10"/>
      <c r="L1156" s="32"/>
      <c r="M1156" s="10"/>
      <c r="N1156" s="33"/>
      <c r="O1156" s="11">
        <f>O1157</f>
        <v>2</v>
      </c>
      <c r="P1156" s="185"/>
      <c r="Q1156" s="185"/>
    </row>
    <row r="1157" spans="1:17" hidden="1" outlineLevel="2">
      <c r="E1157" s="20"/>
      <c r="F1157" s="21"/>
      <c r="G1157" s="22"/>
      <c r="H1157" s="30"/>
      <c r="I1157" s="62"/>
      <c r="J1157" s="37"/>
      <c r="K1157" s="38"/>
      <c r="L1157" s="37"/>
      <c r="M1157" s="38"/>
      <c r="N1157" s="38">
        <v>2</v>
      </c>
      <c r="O1157" s="58">
        <f>ROUND(PRODUCT(J1157:N1157),2)</f>
        <v>2</v>
      </c>
      <c r="P1157" s="185"/>
      <c r="Q1157" s="185"/>
    </row>
    <row r="1158" spans="1:17" ht="30" hidden="1" outlineLevel="2">
      <c r="E1158" s="20"/>
      <c r="F1158" s="21" t="s">
        <v>3156</v>
      </c>
      <c r="G1158" s="22">
        <v>91341</v>
      </c>
      <c r="H1158" s="23" t="s">
        <v>332</v>
      </c>
      <c r="I1158" s="24" t="s">
        <v>2798</v>
      </c>
      <c r="J1158" s="32"/>
      <c r="K1158" s="10"/>
      <c r="L1158" s="32"/>
      <c r="M1158" s="10"/>
      <c r="N1158" s="33"/>
      <c r="O1158" s="11">
        <f>O1159</f>
        <v>37.799999999999997</v>
      </c>
      <c r="P1158" s="185"/>
      <c r="Q1158" s="185"/>
    </row>
    <row r="1159" spans="1:17" hidden="1" outlineLevel="2">
      <c r="E1159" s="20"/>
      <c r="F1159" s="21"/>
      <c r="G1159" s="22"/>
      <c r="H1159" s="30"/>
      <c r="I1159" s="62"/>
      <c r="J1159" s="37"/>
      <c r="K1159" s="38"/>
      <c r="L1159" s="37">
        <v>0.9</v>
      </c>
      <c r="M1159" s="38">
        <v>2.1</v>
      </c>
      <c r="N1159" s="38">
        <v>20</v>
      </c>
      <c r="O1159" s="58">
        <f>ROUND(PRODUCT(J1159:N1159),2)</f>
        <v>37.799999999999997</v>
      </c>
      <c r="P1159" s="185"/>
      <c r="Q1159" s="185"/>
    </row>
    <row r="1160" spans="1:17" hidden="1" outlineLevel="1">
      <c r="A1160" s="2">
        <v>5</v>
      </c>
      <c r="B1160" s="2">
        <v>9</v>
      </c>
      <c r="C1160" s="2" t="e">
        <f>1+C1152</f>
        <v>#REF!</v>
      </c>
      <c r="E1160" s="20" t="e">
        <f>CONCATENATE(A1160,".",B1160,".",C1160)</f>
        <v>#REF!</v>
      </c>
      <c r="F1160" s="21" t="s">
        <v>3157</v>
      </c>
      <c r="G1160" s="22">
        <v>99857</v>
      </c>
      <c r="H1160" s="23" t="s">
        <v>3158</v>
      </c>
      <c r="I1160" s="24" t="s">
        <v>144</v>
      </c>
      <c r="J1160" s="32"/>
      <c r="K1160" s="10"/>
      <c r="L1160" s="32"/>
      <c r="M1160" s="10"/>
      <c r="N1160" s="33"/>
      <c r="O1160" s="11">
        <f>SUM(O1161:O1164)</f>
        <v>213.69</v>
      </c>
      <c r="P1160" s="185"/>
      <c r="Q1160" s="185"/>
    </row>
    <row r="1161" spans="1:17" hidden="1" outlineLevel="1">
      <c r="E1161" s="20"/>
      <c r="F1161" s="21"/>
      <c r="G1161" s="22"/>
      <c r="H1161" s="30" t="s">
        <v>3159</v>
      </c>
      <c r="I1161" s="24"/>
      <c r="J1161" s="32"/>
      <c r="K1161" s="10"/>
      <c r="L1161" s="32"/>
      <c r="M1161" s="10"/>
      <c r="N1161" s="38">
        <f>(1.46*2)+(9.8*2)+1.75</f>
        <v>24.270000000000003</v>
      </c>
      <c r="O1161" s="58">
        <f>ROUND(PRODUCT(J1161:N1161),2)</f>
        <v>24.27</v>
      </c>
      <c r="P1161" s="185"/>
      <c r="Q1161" s="185"/>
    </row>
    <row r="1162" spans="1:17" hidden="1" outlineLevel="1">
      <c r="E1162" s="20"/>
      <c r="F1162" s="21"/>
      <c r="G1162" s="22"/>
      <c r="H1162" s="30" t="s">
        <v>3081</v>
      </c>
      <c r="I1162" s="24"/>
      <c r="J1162" s="32"/>
      <c r="K1162" s="10"/>
      <c r="L1162" s="32"/>
      <c r="M1162" s="10"/>
      <c r="N1162" s="38">
        <f>68.55+61.1</f>
        <v>129.65</v>
      </c>
      <c r="O1162" s="58">
        <f>ROUND(PRODUCT(J1162:N1162),2)</f>
        <v>129.65</v>
      </c>
      <c r="P1162" s="185"/>
      <c r="Q1162" s="185"/>
    </row>
    <row r="1163" spans="1:17" hidden="1" outlineLevel="1">
      <c r="E1163" s="20"/>
      <c r="F1163" s="21"/>
      <c r="G1163" s="22"/>
      <c r="H1163" s="30" t="s">
        <v>3046</v>
      </c>
      <c r="I1163" s="62"/>
      <c r="J1163" s="37"/>
      <c r="K1163" s="38"/>
      <c r="L1163" s="37"/>
      <c r="M1163" s="38"/>
      <c r="N1163" s="38">
        <f>(13.71+6.92)*2</f>
        <v>41.260000000000005</v>
      </c>
      <c r="O1163" s="58">
        <f>ROUND(PRODUCT(J1163:N1163),2)</f>
        <v>41.26</v>
      </c>
      <c r="P1163" s="185"/>
      <c r="Q1163" s="185"/>
    </row>
    <row r="1164" spans="1:17" hidden="1" outlineLevel="2">
      <c r="E1164" s="20"/>
      <c r="F1164" s="21"/>
      <c r="G1164" s="22"/>
      <c r="H1164" s="30" t="s">
        <v>3160</v>
      </c>
      <c r="I1164" s="62"/>
      <c r="J1164" s="37"/>
      <c r="K1164" s="38"/>
      <c r="L1164" s="37"/>
      <c r="M1164" s="38"/>
      <c r="N1164" s="38">
        <f>11.46+7.05</f>
        <v>18.510000000000002</v>
      </c>
      <c r="O1164" s="58">
        <f>ROUND(PRODUCT(J1164:N1164),2)</f>
        <v>18.510000000000002</v>
      </c>
      <c r="P1164" s="185"/>
      <c r="Q1164" s="185"/>
    </row>
    <row r="1165" spans="1:17" ht="60" hidden="1" outlineLevel="1">
      <c r="A1165" s="2">
        <v>5</v>
      </c>
      <c r="B1165" s="2">
        <v>9</v>
      </c>
      <c r="C1165" s="2" t="e">
        <f>1+#REF!</f>
        <v>#REF!</v>
      </c>
      <c r="E1165" s="20" t="e">
        <f>CONCATENATE(A1165,".",B1165,".",C1165)</f>
        <v>#REF!</v>
      </c>
      <c r="F1165" s="21" t="s">
        <v>3161</v>
      </c>
      <c r="G1165" s="22">
        <v>99839</v>
      </c>
      <c r="H1165" s="23" t="s">
        <v>3162</v>
      </c>
      <c r="I1165" s="24" t="s">
        <v>144</v>
      </c>
      <c r="J1165" s="32"/>
      <c r="K1165" s="10"/>
      <c r="L1165" s="32"/>
      <c r="M1165" s="10"/>
      <c r="N1165" s="33"/>
      <c r="O1165" s="11">
        <f>SUM(O1166:O1167)</f>
        <v>85.8</v>
      </c>
      <c r="P1165" s="185"/>
      <c r="Q1165" s="185"/>
    </row>
    <row r="1166" spans="1:17" hidden="1" outlineLevel="2">
      <c r="E1166" s="20"/>
      <c r="F1166" s="21"/>
      <c r="G1166" s="22"/>
      <c r="H1166" s="30"/>
      <c r="I1166" s="62"/>
      <c r="J1166" s="37"/>
      <c r="K1166" s="38"/>
      <c r="L1166" s="37"/>
      <c r="M1166" s="38"/>
      <c r="N1166" s="38">
        <v>85.8</v>
      </c>
      <c r="O1166" s="58">
        <f>ROUND(PRODUCT(J1166:N1166),2)</f>
        <v>85.8</v>
      </c>
      <c r="P1166" s="185"/>
      <c r="Q1166" s="185"/>
    </row>
    <row r="1167" spans="1:17" hidden="1" outlineLevel="2">
      <c r="E1167" s="20"/>
      <c r="F1167" s="21"/>
      <c r="G1167" s="22"/>
      <c r="H1167" s="30"/>
      <c r="I1167" s="62"/>
      <c r="J1167" s="37"/>
      <c r="K1167" s="38"/>
      <c r="L1167" s="37"/>
      <c r="M1167" s="38"/>
      <c r="N1167" s="38"/>
      <c r="O1167" s="58"/>
      <c r="P1167" s="185"/>
      <c r="Q1167" s="185"/>
    </row>
    <row r="1168" spans="1:17" collapsed="1">
      <c r="E1168" s="52" t="s">
        <v>3163</v>
      </c>
      <c r="F1168" s="53" t="s">
        <v>3163</v>
      </c>
      <c r="G1168" s="13"/>
      <c r="H1168" s="14" t="s">
        <v>349</v>
      </c>
      <c r="I1168" s="15"/>
      <c r="J1168" s="16"/>
      <c r="K1168" s="17"/>
      <c r="L1168" s="16"/>
      <c r="M1168" s="17"/>
      <c r="N1168" s="18"/>
      <c r="O1168" s="61"/>
      <c r="P1168" s="185"/>
      <c r="Q1168" s="185"/>
    </row>
    <row r="1169" spans="1:17" hidden="1" outlineLevel="1">
      <c r="A1169" s="2">
        <v>5</v>
      </c>
      <c r="B1169" s="2">
        <v>10</v>
      </c>
      <c r="C1169" s="2">
        <v>1</v>
      </c>
      <c r="E1169" s="20" t="str">
        <f>CONCATENATE(A1169,".",B1169,".",C1169)</f>
        <v>5.10.1</v>
      </c>
      <c r="F1169" s="21" t="s">
        <v>3164</v>
      </c>
      <c r="G1169" s="22" t="s">
        <v>351</v>
      </c>
      <c r="H1169" s="23" t="s">
        <v>352</v>
      </c>
      <c r="I1169" s="24" t="s">
        <v>45</v>
      </c>
      <c r="J1169" s="32"/>
      <c r="K1169" s="10"/>
      <c r="L1169" s="32"/>
      <c r="M1169" s="10"/>
      <c r="N1169" s="33"/>
      <c r="O1169" s="11">
        <f>SUM(O1170:O1173)</f>
        <v>6900.87</v>
      </c>
      <c r="P1169" s="185"/>
      <c r="Q1169" s="185"/>
    </row>
    <row r="1170" spans="1:17" hidden="1" outlineLevel="2">
      <c r="E1170" s="20"/>
      <c r="F1170" s="21"/>
      <c r="G1170" s="22"/>
      <c r="H1170" s="30" t="s">
        <v>3165</v>
      </c>
      <c r="I1170" s="62"/>
      <c r="J1170" s="37"/>
      <c r="K1170" s="38"/>
      <c r="L1170" s="37"/>
      <c r="M1170" s="38"/>
      <c r="N1170" s="38">
        <f>O817</f>
        <v>3344.9199999999978</v>
      </c>
      <c r="O1170" s="58">
        <f>ROUND(PRODUCT(J1170:N1170),2)</f>
        <v>3344.92</v>
      </c>
      <c r="P1170" s="185"/>
      <c r="Q1170" s="185"/>
    </row>
    <row r="1171" spans="1:17" hidden="1" outlineLevel="2">
      <c r="E1171" s="20"/>
      <c r="F1171" s="21"/>
      <c r="G1171" s="22"/>
      <c r="H1171" s="30" t="s">
        <v>3166</v>
      </c>
      <c r="I1171" s="62"/>
      <c r="J1171" s="37"/>
      <c r="K1171" s="38"/>
      <c r="L1171" s="37"/>
      <c r="M1171" s="38"/>
      <c r="N1171" s="38">
        <f>O925</f>
        <v>4238.21</v>
      </c>
      <c r="O1171" s="58">
        <f>ROUND(PRODUCT(J1171:N1171),2)</f>
        <v>4238.21</v>
      </c>
      <c r="P1171" s="185"/>
      <c r="Q1171" s="185"/>
    </row>
    <row r="1172" spans="1:17" hidden="1" outlineLevel="2">
      <c r="E1172" s="20"/>
      <c r="F1172" s="21"/>
      <c r="G1172" s="22"/>
      <c r="H1172" s="30" t="s">
        <v>3167</v>
      </c>
      <c r="I1172" s="62"/>
      <c r="J1172" s="37"/>
      <c r="K1172" s="38"/>
      <c r="L1172" s="37"/>
      <c r="M1172" s="38"/>
      <c r="N1172" s="38">
        <f>-O935</f>
        <v>-655.94999999999982</v>
      </c>
      <c r="O1172" s="58">
        <f>ROUND(PRODUCT(J1172:N1172),2)</f>
        <v>-655.95</v>
      </c>
      <c r="P1172" s="185"/>
      <c r="Q1172" s="185"/>
    </row>
    <row r="1173" spans="1:17" hidden="1" outlineLevel="2">
      <c r="E1173" s="20"/>
      <c r="F1173" s="21"/>
      <c r="G1173" s="22"/>
      <c r="H1173" s="30" t="s">
        <v>3168</v>
      </c>
      <c r="I1173" s="62"/>
      <c r="J1173" s="37"/>
      <c r="K1173" s="38"/>
      <c r="L1173" s="37"/>
      <c r="M1173" s="38"/>
      <c r="N1173" s="38">
        <f>-O979</f>
        <v>-26.309999999999953</v>
      </c>
      <c r="O1173" s="58">
        <f>ROUND(PRODUCT(J1173:N1173),2)</f>
        <v>-26.31</v>
      </c>
      <c r="P1173" s="185"/>
      <c r="Q1173" s="185"/>
    </row>
    <row r="1174" spans="1:17" ht="30" hidden="1" outlineLevel="1">
      <c r="A1174" s="2">
        <v>5</v>
      </c>
      <c r="B1174" s="2">
        <v>10</v>
      </c>
      <c r="C1174" s="2">
        <f>1+C1169</f>
        <v>2</v>
      </c>
      <c r="E1174" s="20" t="str">
        <f>CONCATENATE(A1174,".",B1174,".",C1174)</f>
        <v>5.10.2</v>
      </c>
      <c r="F1174" s="21" t="s">
        <v>3169</v>
      </c>
      <c r="G1174" s="22" t="s">
        <v>354</v>
      </c>
      <c r="H1174" s="23" t="s">
        <v>355</v>
      </c>
      <c r="I1174" s="24" t="s">
        <v>45</v>
      </c>
      <c r="J1174" s="32"/>
      <c r="K1174" s="10"/>
      <c r="L1174" s="32"/>
      <c r="M1174" s="10"/>
      <c r="N1174" s="33"/>
      <c r="O1174" s="11">
        <f>SUM(O1175:O1178)</f>
        <v>6900.87</v>
      </c>
      <c r="P1174" s="185"/>
      <c r="Q1174" s="185"/>
    </row>
    <row r="1175" spans="1:17" hidden="1" outlineLevel="2">
      <c r="E1175" s="20"/>
      <c r="F1175" s="21"/>
      <c r="G1175" s="22"/>
      <c r="H1175" s="30" t="s">
        <v>3165</v>
      </c>
      <c r="I1175" s="62"/>
      <c r="J1175" s="37"/>
      <c r="K1175" s="38"/>
      <c r="L1175" s="37"/>
      <c r="M1175" s="38"/>
      <c r="N1175" s="38">
        <f>O817</f>
        <v>3344.9199999999978</v>
      </c>
      <c r="O1175" s="58">
        <f>ROUND(PRODUCT(J1175:N1175),2)</f>
        <v>3344.92</v>
      </c>
      <c r="P1175" s="185"/>
      <c r="Q1175" s="185"/>
    </row>
    <row r="1176" spans="1:17" hidden="1" outlineLevel="2">
      <c r="E1176" s="20"/>
      <c r="F1176" s="21"/>
      <c r="G1176" s="22"/>
      <c r="H1176" s="30" t="s">
        <v>3166</v>
      </c>
      <c r="I1176" s="62"/>
      <c r="J1176" s="37"/>
      <c r="K1176" s="38"/>
      <c r="L1176" s="37"/>
      <c r="M1176" s="38"/>
      <c r="N1176" s="38">
        <f>O925</f>
        <v>4238.21</v>
      </c>
      <c r="O1176" s="58">
        <f>ROUND(PRODUCT(J1176:N1176),2)</f>
        <v>4238.21</v>
      </c>
      <c r="P1176" s="185"/>
      <c r="Q1176" s="185"/>
    </row>
    <row r="1177" spans="1:17" hidden="1" outlineLevel="2">
      <c r="E1177" s="20"/>
      <c r="F1177" s="21"/>
      <c r="G1177" s="22"/>
      <c r="H1177" s="30" t="s">
        <v>3167</v>
      </c>
      <c r="I1177" s="62"/>
      <c r="J1177" s="37"/>
      <c r="K1177" s="38"/>
      <c r="L1177" s="37"/>
      <c r="M1177" s="38"/>
      <c r="N1177" s="38">
        <f>-O935</f>
        <v>-655.94999999999982</v>
      </c>
      <c r="O1177" s="58">
        <f>ROUND(PRODUCT(J1177:N1177),2)</f>
        <v>-655.95</v>
      </c>
      <c r="P1177" s="185"/>
      <c r="Q1177" s="185"/>
    </row>
    <row r="1178" spans="1:17" hidden="1" outlineLevel="2">
      <c r="E1178" s="20"/>
      <c r="F1178" s="21"/>
      <c r="G1178" s="22"/>
      <c r="H1178" s="30" t="s">
        <v>3168</v>
      </c>
      <c r="I1178" s="62"/>
      <c r="J1178" s="37"/>
      <c r="K1178" s="38"/>
      <c r="L1178" s="37"/>
      <c r="M1178" s="38"/>
      <c r="N1178" s="38">
        <f>-O979</f>
        <v>-26.309999999999953</v>
      </c>
      <c r="O1178" s="58">
        <f>ROUND(PRODUCT(J1178:N1178),2)</f>
        <v>-26.31</v>
      </c>
      <c r="P1178" s="185"/>
      <c r="Q1178" s="185"/>
    </row>
    <row r="1179" spans="1:17" ht="30" hidden="1" outlineLevel="1">
      <c r="A1179" s="2">
        <v>5</v>
      </c>
      <c r="B1179" s="2">
        <v>10</v>
      </c>
      <c r="C1179" s="2">
        <f>1+C1174</f>
        <v>3</v>
      </c>
      <c r="E1179" s="20" t="str">
        <f>CONCATENATE(A1179,".",B1179,".",C1179)</f>
        <v>5.10.3</v>
      </c>
      <c r="F1179" s="21" t="s">
        <v>3170</v>
      </c>
      <c r="G1179" s="22" t="s">
        <v>357</v>
      </c>
      <c r="H1179" s="23" t="s">
        <v>358</v>
      </c>
      <c r="I1179" s="24" t="s">
        <v>45</v>
      </c>
      <c r="J1179" s="32"/>
      <c r="K1179" s="10"/>
      <c r="L1179" s="32"/>
      <c r="M1179" s="10"/>
      <c r="N1179" s="33"/>
      <c r="O1179" s="11">
        <f>SUM(O1180:O1181)</f>
        <v>2688.9700000000003</v>
      </c>
      <c r="P1179" s="185"/>
      <c r="Q1179" s="185"/>
    </row>
    <row r="1180" spans="1:17" hidden="1" outlineLevel="2">
      <c r="E1180" s="20"/>
      <c r="F1180" s="21"/>
      <c r="G1180" s="22"/>
      <c r="H1180" s="30" t="s">
        <v>3165</v>
      </c>
      <c r="I1180" s="62"/>
      <c r="J1180" s="37"/>
      <c r="K1180" s="38"/>
      <c r="L1180" s="37"/>
      <c r="M1180" s="38"/>
      <c r="N1180" s="38">
        <f>O817</f>
        <v>3344.9199999999978</v>
      </c>
      <c r="O1180" s="58">
        <f>ROUND(PRODUCT(J1180:N1180),2)</f>
        <v>3344.92</v>
      </c>
      <c r="P1180" s="185"/>
      <c r="Q1180" s="185"/>
    </row>
    <row r="1181" spans="1:17" hidden="1" outlineLevel="2">
      <c r="E1181" s="20"/>
      <c r="F1181" s="21"/>
      <c r="G1181" s="22"/>
      <c r="H1181" s="30" t="s">
        <v>3171</v>
      </c>
      <c r="I1181" s="62"/>
      <c r="J1181" s="37"/>
      <c r="K1181" s="38"/>
      <c r="L1181" s="37"/>
      <c r="M1181" s="38"/>
      <c r="N1181" s="38">
        <f>-O935</f>
        <v>-655.94999999999982</v>
      </c>
      <c r="O1181" s="58">
        <f>ROUND(PRODUCT(J1181:N1181),2)</f>
        <v>-655.95</v>
      </c>
      <c r="P1181" s="185"/>
      <c r="Q1181" s="185"/>
    </row>
    <row r="1182" spans="1:17" ht="30" hidden="1" outlineLevel="1">
      <c r="A1182" s="2">
        <v>5</v>
      </c>
      <c r="B1182" s="2">
        <v>10</v>
      </c>
      <c r="C1182" s="2">
        <f>1+C1179</f>
        <v>4</v>
      </c>
      <c r="E1182" s="20" t="str">
        <f>CONCATENATE(A1182,".",B1182,".",C1182)</f>
        <v>5.10.4</v>
      </c>
      <c r="F1182" s="21" t="s">
        <v>3172</v>
      </c>
      <c r="G1182" s="22" t="s">
        <v>3173</v>
      </c>
      <c r="H1182" s="23" t="s">
        <v>3174</v>
      </c>
      <c r="I1182" s="24" t="s">
        <v>45</v>
      </c>
      <c r="J1182" s="32"/>
      <c r="K1182" s="10"/>
      <c r="L1182" s="32"/>
      <c r="M1182" s="10"/>
      <c r="N1182" s="33"/>
      <c r="O1182" s="11">
        <f>SUM(O1183:O1184)</f>
        <v>4211.8999999999996</v>
      </c>
      <c r="P1182" s="185"/>
      <c r="Q1182" s="185"/>
    </row>
    <row r="1183" spans="1:17" hidden="1" outlineLevel="2">
      <c r="E1183" s="20"/>
      <c r="F1183" s="21"/>
      <c r="G1183" s="22"/>
      <c r="H1183" s="30" t="s">
        <v>3166</v>
      </c>
      <c r="I1183" s="62"/>
      <c r="J1183" s="37"/>
      <c r="K1183" s="38"/>
      <c r="L1183" s="37"/>
      <c r="M1183" s="38"/>
      <c r="N1183" s="38">
        <f>O925</f>
        <v>4238.21</v>
      </c>
      <c r="O1183" s="58">
        <f>ROUND(PRODUCT(J1183:N1183),2)</f>
        <v>4238.21</v>
      </c>
      <c r="P1183" s="185"/>
      <c r="Q1183" s="185"/>
    </row>
    <row r="1184" spans="1:17" hidden="1" outlineLevel="2">
      <c r="E1184" s="20"/>
      <c r="F1184" s="21"/>
      <c r="G1184" s="22"/>
      <c r="H1184" s="30" t="s">
        <v>3171</v>
      </c>
      <c r="I1184" s="62"/>
      <c r="J1184" s="37"/>
      <c r="K1184" s="38"/>
      <c r="L1184" s="37"/>
      <c r="M1184" s="38"/>
      <c r="N1184" s="38">
        <f>-O979</f>
        <v>-26.309999999999953</v>
      </c>
      <c r="O1184" s="58">
        <f>ROUND(PRODUCT(J1184:N1184),2)</f>
        <v>-26.31</v>
      </c>
      <c r="P1184" s="185"/>
      <c r="Q1184" s="185"/>
    </row>
    <row r="1185" spans="1:17" hidden="1" outlineLevel="1">
      <c r="A1185" s="2">
        <v>5</v>
      </c>
      <c r="B1185" s="2">
        <v>10</v>
      </c>
      <c r="C1185" s="2">
        <f>1+C1182</f>
        <v>5</v>
      </c>
      <c r="E1185" s="20" t="str">
        <f>CONCATENATE(A1185,".",B1185,".",C1185)</f>
        <v>5.10.5</v>
      </c>
      <c r="F1185" s="21" t="s">
        <v>3175</v>
      </c>
      <c r="G1185" s="22">
        <v>95305</v>
      </c>
      <c r="H1185" s="23" t="s">
        <v>3176</v>
      </c>
      <c r="I1185" s="24" t="s">
        <v>45</v>
      </c>
      <c r="J1185" s="32"/>
      <c r="K1185" s="10"/>
      <c r="L1185" s="32"/>
      <c r="M1185" s="10"/>
      <c r="N1185" s="33"/>
      <c r="O1185" s="11">
        <f>SUM(O1186:O1187)</f>
        <v>4211.8999999999996</v>
      </c>
      <c r="P1185" s="185"/>
      <c r="Q1185" s="185"/>
    </row>
    <row r="1186" spans="1:17" hidden="1" outlineLevel="2">
      <c r="E1186" s="20"/>
      <c r="F1186" s="21"/>
      <c r="G1186" s="22"/>
      <c r="H1186" s="30" t="s">
        <v>3166</v>
      </c>
      <c r="I1186" s="62"/>
      <c r="J1186" s="37"/>
      <c r="K1186" s="38"/>
      <c r="L1186" s="37"/>
      <c r="M1186" s="38"/>
      <c r="N1186" s="38">
        <f>O925</f>
        <v>4238.21</v>
      </c>
      <c r="O1186" s="58">
        <f>ROUND(PRODUCT(J1186:N1186),2)</f>
        <v>4238.21</v>
      </c>
      <c r="P1186" s="185"/>
      <c r="Q1186" s="185"/>
    </row>
    <row r="1187" spans="1:17" hidden="1" outlineLevel="2">
      <c r="E1187" s="20"/>
      <c r="F1187" s="21"/>
      <c r="G1187" s="22"/>
      <c r="H1187" s="30" t="s">
        <v>3171</v>
      </c>
      <c r="I1187" s="62"/>
      <c r="J1187" s="37"/>
      <c r="K1187" s="38"/>
      <c r="L1187" s="37"/>
      <c r="M1187" s="38"/>
      <c r="N1187" s="38">
        <f>-O979</f>
        <v>-26.309999999999953</v>
      </c>
      <c r="O1187" s="58">
        <f>ROUND(PRODUCT(J1187:N1187),2)</f>
        <v>-26.31</v>
      </c>
      <c r="P1187" s="185"/>
      <c r="Q1187" s="185"/>
    </row>
    <row r="1188" spans="1:17" hidden="1" outlineLevel="1">
      <c r="A1188" s="2">
        <v>5</v>
      </c>
      <c r="B1188" s="2">
        <v>10</v>
      </c>
      <c r="C1188" s="2">
        <f>1+C1185</f>
        <v>6</v>
      </c>
      <c r="E1188" s="20" t="str">
        <f>CONCATENATE(A1188,".",B1188,".",C1188)</f>
        <v>5.10.6</v>
      </c>
      <c r="F1188" s="21" t="s">
        <v>3177</v>
      </c>
      <c r="G1188" s="22" t="s">
        <v>360</v>
      </c>
      <c r="H1188" s="23" t="s">
        <v>361</v>
      </c>
      <c r="I1188" s="24" t="s">
        <v>45</v>
      </c>
      <c r="J1188" s="32"/>
      <c r="K1188" s="10"/>
      <c r="L1188" s="32"/>
      <c r="M1188" s="10"/>
      <c r="N1188" s="33"/>
      <c r="O1188" s="11">
        <f>SUM(O1189:O1190)</f>
        <v>1702.28</v>
      </c>
      <c r="P1188" s="185"/>
      <c r="Q1188" s="185"/>
    </row>
    <row r="1189" spans="1:17" hidden="1" outlineLevel="2">
      <c r="E1189" s="20"/>
      <c r="F1189" s="21"/>
      <c r="G1189" s="22"/>
      <c r="H1189" s="30" t="s">
        <v>3178</v>
      </c>
      <c r="I1189" s="62"/>
      <c r="J1189" s="37"/>
      <c r="K1189" s="38"/>
      <c r="L1189" s="37"/>
      <c r="M1189" s="38"/>
      <c r="N1189" s="38">
        <v>0</v>
      </c>
      <c r="O1189" s="58">
        <f>ROUND(PRODUCT(J1189:N1189),2)</f>
        <v>0</v>
      </c>
      <c r="P1189" s="185"/>
      <c r="Q1189" s="185"/>
    </row>
    <row r="1190" spans="1:17" hidden="1" outlineLevel="2">
      <c r="E1190" s="20"/>
      <c r="F1190" s="21"/>
      <c r="G1190" s="22"/>
      <c r="H1190" s="30" t="s">
        <v>3179</v>
      </c>
      <c r="I1190" s="62"/>
      <c r="J1190" s="37"/>
      <c r="K1190" s="38"/>
      <c r="L1190" s="37"/>
      <c r="M1190" s="38"/>
      <c r="N1190" s="38">
        <f>O1067</f>
        <v>1702.2800000000007</v>
      </c>
      <c r="O1190" s="58">
        <f>ROUND(PRODUCT(J1190:N1190),2)</f>
        <v>1702.28</v>
      </c>
      <c r="P1190" s="185"/>
      <c r="Q1190" s="185"/>
    </row>
    <row r="1191" spans="1:17" ht="30" hidden="1" outlineLevel="1">
      <c r="A1191" s="2">
        <v>5</v>
      </c>
      <c r="B1191" s="2">
        <v>10</v>
      </c>
      <c r="C1191" s="2">
        <f>1+C1188</f>
        <v>7</v>
      </c>
      <c r="E1191" s="20" t="str">
        <f>CONCATENATE(A1191,".",B1191,".",C1191)</f>
        <v>5.10.7</v>
      </c>
      <c r="F1191" s="21" t="s">
        <v>3180</v>
      </c>
      <c r="G1191" s="22" t="s">
        <v>363</v>
      </c>
      <c r="H1191" s="23" t="s">
        <v>364</v>
      </c>
      <c r="I1191" s="24" t="s">
        <v>45</v>
      </c>
      <c r="J1191" s="32"/>
      <c r="K1191" s="10"/>
      <c r="L1191" s="32"/>
      <c r="M1191" s="10"/>
      <c r="N1191" s="33"/>
      <c r="O1191" s="11">
        <f>SUM(O1192:O1193)</f>
        <v>1760.3899999999999</v>
      </c>
      <c r="P1191" s="185"/>
      <c r="Q1191" s="185"/>
    </row>
    <row r="1192" spans="1:17" hidden="1" outlineLevel="2">
      <c r="E1192" s="20"/>
      <c r="F1192" s="21"/>
      <c r="G1192" s="22"/>
      <c r="H1192" s="30" t="s">
        <v>2873</v>
      </c>
      <c r="I1192" s="62"/>
      <c r="J1192" s="37"/>
      <c r="K1192" s="38"/>
      <c r="L1192" s="37"/>
      <c r="M1192" s="38"/>
      <c r="N1192" s="38">
        <f>SUM(N1069:N1105)</f>
        <v>716.62000000000046</v>
      </c>
      <c r="O1192" s="58">
        <f>ROUND(PRODUCT(J1192:N1192),2)</f>
        <v>716.62</v>
      </c>
      <c r="P1192" s="185"/>
      <c r="Q1192" s="185"/>
    </row>
    <row r="1193" spans="1:17" hidden="1" outlineLevel="2">
      <c r="E1193" s="20"/>
      <c r="F1193" s="21"/>
      <c r="G1193" s="22"/>
      <c r="H1193" s="30" t="s">
        <v>2933</v>
      </c>
      <c r="I1193" s="62"/>
      <c r="J1193" s="37"/>
      <c r="K1193" s="38"/>
      <c r="L1193" s="37"/>
      <c r="M1193" s="38"/>
      <c r="N1193" s="38">
        <f>SUM(N1107:N1124)</f>
        <v>1043.7700000000002</v>
      </c>
      <c r="O1193" s="58">
        <f>ROUND(PRODUCT(J1193:N1193),2)</f>
        <v>1043.77</v>
      </c>
      <c r="P1193" s="185"/>
      <c r="Q1193" s="185"/>
    </row>
    <row r="1194" spans="1:17" ht="30" hidden="1" outlineLevel="1">
      <c r="A1194" s="2">
        <v>5</v>
      </c>
      <c r="B1194" s="2">
        <v>10</v>
      </c>
      <c r="C1194" s="2">
        <f>1+C1191</f>
        <v>8</v>
      </c>
      <c r="E1194" s="20" t="str">
        <f>CONCATENATE(A1194,".",B1194,".",C1194)</f>
        <v>5.10.8</v>
      </c>
      <c r="F1194" s="21" t="s">
        <v>3181</v>
      </c>
      <c r="G1194" s="22" t="s">
        <v>366</v>
      </c>
      <c r="H1194" s="23" t="s">
        <v>367</v>
      </c>
      <c r="I1194" s="24" t="s">
        <v>45</v>
      </c>
      <c r="J1194" s="32"/>
      <c r="K1194" s="10"/>
      <c r="L1194" s="32"/>
      <c r="M1194" s="10"/>
      <c r="N1194" s="33"/>
      <c r="O1194" s="11">
        <f>SUM(O1195:O1196)</f>
        <v>1760.3899999999999</v>
      </c>
      <c r="P1194" s="185"/>
      <c r="Q1194" s="185"/>
    </row>
    <row r="1195" spans="1:17" hidden="1" outlineLevel="2">
      <c r="E1195" s="20"/>
      <c r="F1195" s="21"/>
      <c r="G1195" s="22"/>
      <c r="H1195" s="30" t="s">
        <v>2873</v>
      </c>
      <c r="I1195" s="62"/>
      <c r="J1195" s="37"/>
      <c r="K1195" s="38"/>
      <c r="L1195" s="37"/>
      <c r="M1195" s="38"/>
      <c r="N1195" s="38">
        <f>N1192</f>
        <v>716.62000000000046</v>
      </c>
      <c r="O1195" s="58">
        <f>ROUND(PRODUCT(J1195:N1195),2)</f>
        <v>716.62</v>
      </c>
      <c r="P1195" s="185"/>
      <c r="Q1195" s="185"/>
    </row>
    <row r="1196" spans="1:17" hidden="1" outlineLevel="2">
      <c r="E1196" s="20"/>
      <c r="F1196" s="21"/>
      <c r="G1196" s="22"/>
      <c r="H1196" s="30" t="s">
        <v>2933</v>
      </c>
      <c r="I1196" s="62"/>
      <c r="J1196" s="37"/>
      <c r="K1196" s="38"/>
      <c r="L1196" s="37"/>
      <c r="M1196" s="38"/>
      <c r="N1196" s="38">
        <f>N1193</f>
        <v>1043.7700000000002</v>
      </c>
      <c r="O1196" s="58">
        <f>ROUND(PRODUCT(J1196:N1196),2)</f>
        <v>1043.77</v>
      </c>
      <c r="P1196" s="185"/>
      <c r="Q1196" s="185"/>
    </row>
    <row r="1197" spans="1:17" ht="30" hidden="1" outlineLevel="1">
      <c r="A1197" s="2">
        <v>5</v>
      </c>
      <c r="B1197" s="2">
        <v>10</v>
      </c>
      <c r="C1197" s="2">
        <f>1+C1194</f>
        <v>9</v>
      </c>
      <c r="E1197" s="20" t="str">
        <f>CONCATENATE(A1197,".",B1197,".",C1197)</f>
        <v>5.10.9</v>
      </c>
      <c r="F1197" s="22" t="s">
        <v>3182</v>
      </c>
      <c r="G1197" s="22">
        <v>102218</v>
      </c>
      <c r="H1197" s="23" t="s">
        <v>370</v>
      </c>
      <c r="I1197" s="24" t="s">
        <v>45</v>
      </c>
      <c r="J1197" s="32"/>
      <c r="K1197" s="10"/>
      <c r="L1197" s="32"/>
      <c r="M1197" s="10"/>
      <c r="N1197" s="33"/>
      <c r="O1197" s="11">
        <f>SUM(O1198:O1198)</f>
        <v>64.260000000000005</v>
      </c>
      <c r="P1197" s="185"/>
      <c r="Q1197" s="185"/>
    </row>
    <row r="1198" spans="1:17" hidden="1" outlineLevel="2">
      <c r="E1198" s="20"/>
      <c r="F1198" s="21"/>
      <c r="G1198" s="22"/>
      <c r="H1198" s="30" t="s">
        <v>2936</v>
      </c>
      <c r="I1198" s="62"/>
      <c r="J1198" s="37">
        <v>2</v>
      </c>
      <c r="K1198" s="38">
        <v>0.9</v>
      </c>
      <c r="L1198" s="37"/>
      <c r="M1198" s="38">
        <v>2.1</v>
      </c>
      <c r="N1198" s="38">
        <v>17</v>
      </c>
      <c r="O1198" s="58">
        <f>ROUND(PRODUCT(J1198:N1198),2)</f>
        <v>64.260000000000005</v>
      </c>
      <c r="P1198" s="185"/>
      <c r="Q1198" s="185"/>
    </row>
    <row r="1199" spans="1:17" collapsed="1">
      <c r="E1199" s="44" t="s">
        <v>3183</v>
      </c>
      <c r="F1199" s="108" t="s">
        <v>3183</v>
      </c>
      <c r="G1199" s="98"/>
      <c r="H1199" s="99" t="s">
        <v>468</v>
      </c>
      <c r="I1199" s="15"/>
      <c r="J1199" s="16"/>
      <c r="K1199" s="17"/>
      <c r="L1199" s="16"/>
      <c r="M1199" s="17"/>
      <c r="N1199" s="18"/>
      <c r="O1199" s="61"/>
      <c r="P1199" s="185"/>
      <c r="Q1199" s="185"/>
    </row>
    <row r="1200" spans="1:17" ht="30" hidden="1" outlineLevel="1">
      <c r="A1200" s="2">
        <v>5</v>
      </c>
      <c r="B1200" s="2">
        <v>11</v>
      </c>
      <c r="C1200" s="2">
        <v>1</v>
      </c>
      <c r="E1200" s="20" t="str">
        <f>CONCATENATE(A1200,".",B1200,".",C1200)</f>
        <v>5.11.1</v>
      </c>
      <c r="F1200" s="21" t="s">
        <v>3184</v>
      </c>
      <c r="G1200" s="22">
        <v>101895</v>
      </c>
      <c r="H1200" s="23" t="s">
        <v>3185</v>
      </c>
      <c r="I1200" s="24" t="s">
        <v>36</v>
      </c>
      <c r="J1200" s="32"/>
      <c r="K1200" s="10"/>
      <c r="L1200" s="32"/>
      <c r="M1200" s="10"/>
      <c r="N1200" s="33"/>
      <c r="O1200" s="11">
        <f>SUM(O1201:O1201)</f>
        <v>2</v>
      </c>
      <c r="P1200" s="185"/>
      <c r="Q1200" s="185"/>
    </row>
    <row r="1201" spans="1:17" hidden="1" outlineLevel="2">
      <c r="E1201" s="20"/>
      <c r="F1201" s="21"/>
      <c r="G1201" s="22"/>
      <c r="H1201" s="30"/>
      <c r="I1201" s="24"/>
      <c r="J1201" s="32"/>
      <c r="K1201" s="10"/>
      <c r="L1201" s="32"/>
      <c r="M1201" s="10"/>
      <c r="N1201" s="33">
        <v>2</v>
      </c>
      <c r="O1201" s="58">
        <f>ROUND(PRODUCT(J1201:N1201),2)</f>
        <v>2</v>
      </c>
      <c r="P1201" s="185"/>
      <c r="Q1201" s="185"/>
    </row>
    <row r="1202" spans="1:17" ht="30" hidden="1" outlineLevel="1">
      <c r="A1202" s="2">
        <v>5</v>
      </c>
      <c r="B1202" s="2">
        <v>11</v>
      </c>
      <c r="C1202" s="2">
        <f>1+C1200</f>
        <v>2</v>
      </c>
      <c r="E1202" s="20" t="str">
        <f>CONCATENATE(A1202,".",B1202,".",C1202)</f>
        <v>5.11.2</v>
      </c>
      <c r="F1202" s="21" t="s">
        <v>3186</v>
      </c>
      <c r="G1202" s="22">
        <v>93673</v>
      </c>
      <c r="H1202" s="23" t="s">
        <v>474</v>
      </c>
      <c r="I1202" s="24" t="s">
        <v>36</v>
      </c>
      <c r="J1202" s="32"/>
      <c r="K1202" s="10"/>
      <c r="L1202" s="32"/>
      <c r="M1202" s="10"/>
      <c r="N1202" s="33"/>
      <c r="O1202" s="11">
        <f>SUM(O1203)</f>
        <v>1</v>
      </c>
      <c r="P1202" s="185"/>
      <c r="Q1202" s="185"/>
    </row>
    <row r="1203" spans="1:17" hidden="1" outlineLevel="2">
      <c r="E1203" s="20"/>
      <c r="F1203" s="21"/>
      <c r="G1203" s="22"/>
      <c r="H1203" s="30"/>
      <c r="I1203" s="24"/>
      <c r="J1203" s="32"/>
      <c r="K1203" s="10"/>
      <c r="L1203" s="32"/>
      <c r="M1203" s="10"/>
      <c r="N1203" s="33">
        <v>1</v>
      </c>
      <c r="O1203" s="58">
        <f>ROUND(PRODUCT(J1203:N1203),2)</f>
        <v>1</v>
      </c>
      <c r="P1203" s="185"/>
      <c r="Q1203" s="185"/>
    </row>
    <row r="1204" spans="1:17" ht="30" hidden="1" outlineLevel="1">
      <c r="A1204" s="2">
        <v>5</v>
      </c>
      <c r="B1204" s="2">
        <v>11</v>
      </c>
      <c r="C1204" s="2">
        <f>1+C1202</f>
        <v>3</v>
      </c>
      <c r="E1204" s="20" t="str">
        <f>CONCATENATE(A1204,".",B1204,".",C1204)</f>
        <v>5.11.3</v>
      </c>
      <c r="F1204" s="21" t="s">
        <v>3187</v>
      </c>
      <c r="G1204" s="22">
        <v>93672</v>
      </c>
      <c r="H1204" s="23" t="s">
        <v>477</v>
      </c>
      <c r="I1204" s="24" t="s">
        <v>36</v>
      </c>
      <c r="J1204" s="32"/>
      <c r="K1204" s="10"/>
      <c r="L1204" s="32"/>
      <c r="M1204" s="10"/>
      <c r="N1204" s="33"/>
      <c r="O1204" s="11">
        <f>SUM(O1205:O1205)</f>
        <v>1</v>
      </c>
      <c r="P1204" s="185"/>
      <c r="Q1204" s="185"/>
    </row>
    <row r="1205" spans="1:17" hidden="1" outlineLevel="2">
      <c r="E1205" s="20"/>
      <c r="F1205" s="21"/>
      <c r="G1205" s="22"/>
      <c r="H1205" s="30"/>
      <c r="I1205" s="24"/>
      <c r="J1205" s="32"/>
      <c r="K1205" s="10"/>
      <c r="L1205" s="32"/>
      <c r="M1205" s="10"/>
      <c r="N1205" s="33">
        <v>1</v>
      </c>
      <c r="O1205" s="58">
        <f>ROUND(PRODUCT(J1205:N1205),2)</f>
        <v>1</v>
      </c>
      <c r="P1205" s="185"/>
      <c r="Q1205" s="185"/>
    </row>
    <row r="1206" spans="1:17" ht="30" hidden="1" outlineLevel="1">
      <c r="A1206" s="2">
        <v>5</v>
      </c>
      <c r="B1206" s="2">
        <v>11</v>
      </c>
      <c r="C1206" s="2">
        <f>1+C1204</f>
        <v>4</v>
      </c>
      <c r="E1206" s="20" t="str">
        <f>CONCATENATE(A1206,".",B1206,".",C1206)</f>
        <v>5.11.4</v>
      </c>
      <c r="F1206" s="21" t="s">
        <v>3188</v>
      </c>
      <c r="G1206" s="22">
        <v>93670</v>
      </c>
      <c r="H1206" s="23" t="s">
        <v>480</v>
      </c>
      <c r="I1206" s="24" t="s">
        <v>36</v>
      </c>
      <c r="J1206" s="32"/>
      <c r="K1206" s="10"/>
      <c r="L1206" s="32"/>
      <c r="M1206" s="10"/>
      <c r="N1206" s="33"/>
      <c r="O1206" s="11">
        <f>SUM(O1207:O1207)</f>
        <v>3</v>
      </c>
      <c r="P1206" s="185"/>
      <c r="Q1206" s="185"/>
    </row>
    <row r="1207" spans="1:17" hidden="1" outlineLevel="2">
      <c r="E1207" s="20"/>
      <c r="F1207" s="21"/>
      <c r="G1207" s="22"/>
      <c r="H1207" s="30"/>
      <c r="I1207" s="24"/>
      <c r="J1207" s="32"/>
      <c r="K1207" s="10"/>
      <c r="L1207" s="32"/>
      <c r="M1207" s="10"/>
      <c r="N1207" s="33">
        <v>3</v>
      </c>
      <c r="O1207" s="58">
        <f>ROUND(PRODUCT(J1207:N1207),2)</f>
        <v>3</v>
      </c>
      <c r="P1207" s="185"/>
      <c r="Q1207" s="185"/>
    </row>
    <row r="1208" spans="1:17" ht="30" hidden="1" outlineLevel="1">
      <c r="A1208" s="2">
        <v>5</v>
      </c>
      <c r="B1208" s="2">
        <v>11</v>
      </c>
      <c r="C1208" s="2">
        <f>1+C1206</f>
        <v>5</v>
      </c>
      <c r="E1208" s="20" t="str">
        <f>CONCATENATE(A1208,".",B1208,".",C1208)</f>
        <v>5.11.5</v>
      </c>
      <c r="F1208" s="21" t="s">
        <v>3189</v>
      </c>
      <c r="G1208" s="22">
        <v>93669</v>
      </c>
      <c r="H1208" s="23" t="s">
        <v>483</v>
      </c>
      <c r="I1208" s="24" t="s">
        <v>36</v>
      </c>
      <c r="J1208" s="32"/>
      <c r="K1208" s="10"/>
      <c r="L1208" s="32"/>
      <c r="M1208" s="10"/>
      <c r="N1208" s="33"/>
      <c r="O1208" s="11">
        <f>SUM(O1209:O1209)</f>
        <v>2</v>
      </c>
      <c r="P1208" s="185"/>
      <c r="Q1208" s="185"/>
    </row>
    <row r="1209" spans="1:17" hidden="1" outlineLevel="2">
      <c r="E1209" s="20"/>
      <c r="F1209" s="21"/>
      <c r="G1209" s="22"/>
      <c r="H1209" s="30"/>
      <c r="I1209" s="24"/>
      <c r="J1209" s="32"/>
      <c r="K1209" s="10"/>
      <c r="L1209" s="32"/>
      <c r="M1209" s="10"/>
      <c r="N1209" s="33">
        <v>2</v>
      </c>
      <c r="O1209" s="58">
        <f>ROUND(PRODUCT(J1209:N1209),2)</f>
        <v>2</v>
      </c>
      <c r="P1209" s="185"/>
      <c r="Q1209" s="185"/>
    </row>
    <row r="1210" spans="1:17" ht="30" hidden="1" outlineLevel="1">
      <c r="A1210" s="2">
        <v>5</v>
      </c>
      <c r="B1210" s="2">
        <v>11</v>
      </c>
      <c r="C1210" s="2">
        <f>1+C1208</f>
        <v>6</v>
      </c>
      <c r="E1210" s="20" t="str">
        <f>CONCATENATE(A1210,".",B1210,".",C1210)</f>
        <v>5.11.6</v>
      </c>
      <c r="F1210" s="21" t="s">
        <v>3190</v>
      </c>
      <c r="G1210" s="22">
        <v>93668</v>
      </c>
      <c r="H1210" s="23" t="s">
        <v>486</v>
      </c>
      <c r="I1210" s="24" t="s">
        <v>36</v>
      </c>
      <c r="J1210" s="32"/>
      <c r="K1210" s="10"/>
      <c r="L1210" s="32"/>
      <c r="M1210" s="10"/>
      <c r="N1210" s="33"/>
      <c r="O1210" s="11">
        <f>SUM(O1211)</f>
        <v>1</v>
      </c>
      <c r="P1210" s="185"/>
      <c r="Q1210" s="185"/>
    </row>
    <row r="1211" spans="1:17" hidden="1" outlineLevel="2">
      <c r="E1211" s="20"/>
      <c r="F1211" s="21"/>
      <c r="G1211" s="22"/>
      <c r="H1211" s="23"/>
      <c r="I1211" s="24"/>
      <c r="J1211" s="32"/>
      <c r="K1211" s="10"/>
      <c r="L1211" s="32"/>
      <c r="M1211" s="10"/>
      <c r="N1211" s="33">
        <v>1</v>
      </c>
      <c r="O1211" s="58">
        <f>ROUND(PRODUCT(J1211:N1211),2)</f>
        <v>1</v>
      </c>
      <c r="P1211" s="185"/>
      <c r="Q1211" s="185"/>
    </row>
    <row r="1212" spans="1:17" ht="30" hidden="1" outlineLevel="1">
      <c r="A1212" s="2">
        <v>5</v>
      </c>
      <c r="B1212" s="2">
        <v>11</v>
      </c>
      <c r="C1212" s="2">
        <f>1+C1210</f>
        <v>7</v>
      </c>
      <c r="E1212" s="20" t="str">
        <f>CONCATENATE(A1212,".",B1212,".",C1212)</f>
        <v>5.11.7</v>
      </c>
      <c r="F1212" s="21" t="s">
        <v>3191</v>
      </c>
      <c r="G1212" s="22">
        <v>93667</v>
      </c>
      <c r="H1212" s="23" t="s">
        <v>489</v>
      </c>
      <c r="I1212" s="24" t="s">
        <v>36</v>
      </c>
      <c r="J1212" s="32"/>
      <c r="K1212" s="10"/>
      <c r="L1212" s="32"/>
      <c r="M1212" s="10"/>
      <c r="N1212" s="33"/>
      <c r="O1212" s="11">
        <f>SUM(O1213)</f>
        <v>29</v>
      </c>
      <c r="P1212" s="185"/>
      <c r="Q1212" s="185"/>
    </row>
    <row r="1213" spans="1:17" hidden="1" outlineLevel="2">
      <c r="E1213" s="20"/>
      <c r="F1213" s="21"/>
      <c r="G1213" s="22"/>
      <c r="H1213" s="30"/>
      <c r="I1213" s="24"/>
      <c r="J1213" s="32"/>
      <c r="K1213" s="10"/>
      <c r="L1213" s="32"/>
      <c r="M1213" s="10"/>
      <c r="N1213" s="33">
        <v>29</v>
      </c>
      <c r="O1213" s="58">
        <f>ROUND(PRODUCT(J1213:N1213),2)</f>
        <v>29</v>
      </c>
      <c r="P1213" s="185"/>
      <c r="Q1213" s="185"/>
    </row>
    <row r="1214" spans="1:17" ht="30" hidden="1" outlineLevel="1">
      <c r="A1214" s="2">
        <v>5</v>
      </c>
      <c r="B1214" s="2">
        <v>11</v>
      </c>
      <c r="C1214" s="2">
        <f>1+C1212</f>
        <v>8</v>
      </c>
      <c r="E1214" s="20" t="str">
        <f>CONCATENATE(A1214,".",B1214,".",C1214)</f>
        <v>5.11.8</v>
      </c>
      <c r="F1214" s="21" t="s">
        <v>3192</v>
      </c>
      <c r="G1214" s="22">
        <v>1535</v>
      </c>
      <c r="H1214" s="23" t="s">
        <v>492</v>
      </c>
      <c r="I1214" s="24" t="s">
        <v>36</v>
      </c>
      <c r="J1214" s="32"/>
      <c r="K1214" s="10"/>
      <c r="L1214" s="32"/>
      <c r="M1214" s="10"/>
      <c r="N1214" s="33"/>
      <c r="O1214" s="11">
        <f>SUM(O1215)</f>
        <v>1</v>
      </c>
      <c r="P1214" s="185"/>
      <c r="Q1214" s="185"/>
    </row>
    <row r="1215" spans="1:17" hidden="1" outlineLevel="2">
      <c r="E1215" s="20"/>
      <c r="F1215" s="21"/>
      <c r="G1215" s="22"/>
      <c r="H1215" s="23"/>
      <c r="I1215" s="24"/>
      <c r="J1215" s="32"/>
      <c r="K1215" s="10"/>
      <c r="L1215" s="32"/>
      <c r="M1215" s="10"/>
      <c r="N1215" s="33">
        <v>1</v>
      </c>
      <c r="O1215" s="58">
        <f>ROUND(PRODUCT(J1215:N1215),2)</f>
        <v>1</v>
      </c>
      <c r="P1215" s="185"/>
      <c r="Q1215" s="185"/>
    </row>
    <row r="1216" spans="1:17" ht="30" hidden="1" outlineLevel="1">
      <c r="A1216" s="2">
        <v>5</v>
      </c>
      <c r="B1216" s="2">
        <v>11</v>
      </c>
      <c r="C1216" s="2">
        <f>1+C1214</f>
        <v>9</v>
      </c>
      <c r="E1216" s="20" t="str">
        <f>CONCATENATE(A1216,".",B1216,".",C1216)</f>
        <v>5.11.9</v>
      </c>
      <c r="F1216" s="21" t="s">
        <v>3193</v>
      </c>
      <c r="G1216" s="22">
        <v>207</v>
      </c>
      <c r="H1216" s="23" t="s">
        <v>495</v>
      </c>
      <c r="I1216" s="24" t="s">
        <v>36</v>
      </c>
      <c r="J1216" s="32"/>
      <c r="K1216" s="10"/>
      <c r="L1216" s="32"/>
      <c r="M1216" s="10"/>
      <c r="N1216" s="33"/>
      <c r="O1216" s="11">
        <f>SUM(O1217)</f>
        <v>1</v>
      </c>
      <c r="P1216" s="185"/>
      <c r="Q1216" s="185"/>
    </row>
    <row r="1217" spans="1:17" hidden="1" outlineLevel="2">
      <c r="E1217" s="20"/>
      <c r="F1217" s="21"/>
      <c r="G1217" s="22"/>
      <c r="H1217" s="23"/>
      <c r="I1217" s="24"/>
      <c r="J1217" s="32"/>
      <c r="K1217" s="10"/>
      <c r="L1217" s="32"/>
      <c r="M1217" s="10"/>
      <c r="N1217" s="33">
        <v>1</v>
      </c>
      <c r="O1217" s="58">
        <f>ROUND(PRODUCT(J1217:N1217),2)</f>
        <v>1</v>
      </c>
      <c r="P1217" s="185"/>
      <c r="Q1217" s="185"/>
    </row>
    <row r="1218" spans="1:17" ht="30" hidden="1" outlineLevel="1">
      <c r="A1218" s="2">
        <v>5</v>
      </c>
      <c r="B1218" s="2">
        <v>11</v>
      </c>
      <c r="C1218" s="2">
        <f>1+C1216</f>
        <v>10</v>
      </c>
      <c r="E1218" s="20" t="str">
        <f>CONCATENATE(A1218,".",B1218,".",C1218)</f>
        <v>5.11.10</v>
      </c>
      <c r="F1218" s="21" t="s">
        <v>3194</v>
      </c>
      <c r="G1218" s="22">
        <v>1493</v>
      </c>
      <c r="H1218" s="23" t="s">
        <v>498</v>
      </c>
      <c r="I1218" s="24" t="s">
        <v>36</v>
      </c>
      <c r="J1218" s="32"/>
      <c r="K1218" s="10"/>
      <c r="L1218" s="32"/>
      <c r="M1218" s="10"/>
      <c r="N1218" s="33"/>
      <c r="O1218" s="11">
        <f>SUM(O1219)</f>
        <v>1</v>
      </c>
      <c r="P1218" s="185"/>
      <c r="Q1218" s="185"/>
    </row>
    <row r="1219" spans="1:17" hidden="1" outlineLevel="2">
      <c r="E1219" s="20"/>
      <c r="F1219" s="21"/>
      <c r="G1219" s="22"/>
      <c r="H1219" s="30"/>
      <c r="I1219" s="24"/>
      <c r="J1219" s="32"/>
      <c r="K1219" s="10"/>
      <c r="L1219" s="32"/>
      <c r="M1219" s="10"/>
      <c r="N1219" s="33">
        <v>1</v>
      </c>
      <c r="O1219" s="58">
        <f>ROUND(PRODUCT(J1219:N1219),2)</f>
        <v>1</v>
      </c>
      <c r="P1219" s="185"/>
      <c r="Q1219" s="185"/>
    </row>
    <row r="1220" spans="1:17" hidden="1" outlineLevel="1">
      <c r="A1220" s="2">
        <v>5</v>
      </c>
      <c r="B1220" s="2">
        <v>11</v>
      </c>
      <c r="C1220" s="2">
        <f>1+C1218</f>
        <v>11</v>
      </c>
      <c r="E1220" s="20" t="str">
        <f>CONCATENATE(A1220,".",B1220,".",C1220)</f>
        <v>5.11.11</v>
      </c>
      <c r="F1220" s="21" t="s">
        <v>3195</v>
      </c>
      <c r="G1220" s="22">
        <v>1246</v>
      </c>
      <c r="H1220" s="23" t="s">
        <v>501</v>
      </c>
      <c r="I1220" s="24" t="s">
        <v>144</v>
      </c>
      <c r="J1220" s="32"/>
      <c r="K1220" s="10"/>
      <c r="L1220" s="32"/>
      <c r="M1220" s="10"/>
      <c r="N1220" s="33"/>
      <c r="O1220" s="11">
        <f>SUM(O1221)</f>
        <v>20</v>
      </c>
      <c r="P1220" s="185"/>
      <c r="Q1220" s="185"/>
    </row>
    <row r="1221" spans="1:17" hidden="1" outlineLevel="2">
      <c r="E1221" s="20"/>
      <c r="F1221" s="21"/>
      <c r="G1221" s="22"/>
      <c r="H1221" s="30"/>
      <c r="I1221" s="24"/>
      <c r="J1221" s="32"/>
      <c r="K1221" s="10"/>
      <c r="L1221" s="32"/>
      <c r="M1221" s="10"/>
      <c r="N1221" s="33">
        <v>20</v>
      </c>
      <c r="O1221" s="58">
        <f>ROUND(PRODUCT(J1221:N1221),2)</f>
        <v>20</v>
      </c>
      <c r="P1221" s="185"/>
      <c r="Q1221" s="185"/>
    </row>
    <row r="1222" spans="1:17" ht="30" hidden="1" outlineLevel="1">
      <c r="A1222" s="2">
        <v>5</v>
      </c>
      <c r="B1222" s="2">
        <v>11</v>
      </c>
      <c r="C1222" s="2">
        <f>1+C1220</f>
        <v>12</v>
      </c>
      <c r="E1222" s="20" t="str">
        <f>CONCATENATE(A1222,".",B1222,".",C1222)</f>
        <v>5.11.12</v>
      </c>
      <c r="F1222" s="21" t="s">
        <v>3196</v>
      </c>
      <c r="G1222" s="22">
        <v>93656</v>
      </c>
      <c r="H1222" s="23" t="s">
        <v>504</v>
      </c>
      <c r="I1222" s="24" t="s">
        <v>36</v>
      </c>
      <c r="J1222" s="32"/>
      <c r="K1222" s="10"/>
      <c r="L1222" s="32"/>
      <c r="M1222" s="10"/>
      <c r="N1222" s="33"/>
      <c r="O1222" s="11">
        <f>SUM(O1223)</f>
        <v>2</v>
      </c>
      <c r="P1222" s="185"/>
      <c r="Q1222" s="185"/>
    </row>
    <row r="1223" spans="1:17" hidden="1" outlineLevel="2">
      <c r="E1223" s="20"/>
      <c r="F1223" s="21"/>
      <c r="G1223" s="22"/>
      <c r="H1223" s="23"/>
      <c r="I1223" s="24"/>
      <c r="J1223" s="32"/>
      <c r="K1223" s="10"/>
      <c r="L1223" s="32"/>
      <c r="M1223" s="10"/>
      <c r="N1223" s="33">
        <v>2</v>
      </c>
      <c r="O1223" s="58">
        <f>ROUND(PRODUCT(J1223:N1223),2)</f>
        <v>2</v>
      </c>
      <c r="P1223" s="185"/>
      <c r="Q1223" s="185"/>
    </row>
    <row r="1224" spans="1:17" ht="30" hidden="1" outlineLevel="1">
      <c r="A1224" s="2">
        <v>5</v>
      </c>
      <c r="B1224" s="2">
        <v>11</v>
      </c>
      <c r="C1224" s="2">
        <f>1+C1222</f>
        <v>13</v>
      </c>
      <c r="E1224" s="20" t="str">
        <f>CONCATENATE(A1224,".",B1224,".",C1224)</f>
        <v>5.11.13</v>
      </c>
      <c r="F1224" s="21" t="s">
        <v>3197</v>
      </c>
      <c r="G1224" s="22">
        <v>93655</v>
      </c>
      <c r="H1224" s="23" t="s">
        <v>507</v>
      </c>
      <c r="I1224" s="24" t="s">
        <v>36</v>
      </c>
      <c r="J1224" s="32"/>
      <c r="K1224" s="10"/>
      <c r="L1224" s="32"/>
      <c r="M1224" s="10"/>
      <c r="N1224" s="33"/>
      <c r="O1224" s="11">
        <f>SUM(O1225)</f>
        <v>59</v>
      </c>
      <c r="P1224" s="185"/>
      <c r="Q1224" s="185"/>
    </row>
    <row r="1225" spans="1:17" hidden="1" outlineLevel="2">
      <c r="E1225" s="20"/>
      <c r="F1225" s="21"/>
      <c r="G1225" s="22"/>
      <c r="H1225" s="23"/>
      <c r="I1225" s="24"/>
      <c r="J1225" s="32"/>
      <c r="K1225" s="10"/>
      <c r="L1225" s="32"/>
      <c r="M1225" s="10"/>
      <c r="N1225" s="33">
        <v>59</v>
      </c>
      <c r="O1225" s="58">
        <f>ROUND(PRODUCT(J1225:N1225),2)</f>
        <v>59</v>
      </c>
      <c r="P1225" s="185"/>
      <c r="Q1225" s="185"/>
    </row>
    <row r="1226" spans="1:17" ht="30" hidden="1" outlineLevel="1">
      <c r="A1226" s="2">
        <v>5</v>
      </c>
      <c r="B1226" s="2">
        <v>11</v>
      </c>
      <c r="C1226" s="2">
        <f>1+C1224</f>
        <v>14</v>
      </c>
      <c r="E1226" s="20" t="str">
        <f>CONCATENATE(A1226,".",B1226,".",C1226)</f>
        <v>5.11.14</v>
      </c>
      <c r="F1226" s="21" t="s">
        <v>3198</v>
      </c>
      <c r="G1226" s="22">
        <v>93654</v>
      </c>
      <c r="H1226" s="23" t="s">
        <v>510</v>
      </c>
      <c r="I1226" s="24" t="s">
        <v>36</v>
      </c>
      <c r="J1226" s="32"/>
      <c r="K1226" s="10"/>
      <c r="L1226" s="32"/>
      <c r="M1226" s="10"/>
      <c r="N1226" s="33"/>
      <c r="O1226" s="11">
        <f>SUM(O1227)</f>
        <v>4</v>
      </c>
      <c r="P1226" s="185"/>
      <c r="Q1226" s="185"/>
    </row>
    <row r="1227" spans="1:17" hidden="1" outlineLevel="2">
      <c r="E1227" s="20"/>
      <c r="F1227" s="21"/>
      <c r="G1227" s="22"/>
      <c r="H1227" s="23"/>
      <c r="I1227" s="24"/>
      <c r="J1227" s="32"/>
      <c r="K1227" s="10"/>
      <c r="L1227" s="32"/>
      <c r="M1227" s="10"/>
      <c r="N1227" s="33">
        <v>4</v>
      </c>
      <c r="O1227" s="58">
        <f>ROUND(PRODUCT(J1227:N1227),2)</f>
        <v>4</v>
      </c>
      <c r="P1227" s="185"/>
      <c r="Q1227" s="185"/>
    </row>
    <row r="1228" spans="1:17" ht="30" hidden="1" outlineLevel="1">
      <c r="A1228" s="2">
        <v>5</v>
      </c>
      <c r="B1228" s="2">
        <v>11</v>
      </c>
      <c r="C1228" s="2">
        <f>1+C1226</f>
        <v>15</v>
      </c>
      <c r="E1228" s="20" t="str">
        <f>CONCATENATE(A1228,".",B1228,".",C1228)</f>
        <v>5.11.15</v>
      </c>
      <c r="F1228" s="21" t="s">
        <v>3199</v>
      </c>
      <c r="G1228" s="22">
        <v>93653</v>
      </c>
      <c r="H1228" s="23" t="s">
        <v>513</v>
      </c>
      <c r="I1228" s="24" t="s">
        <v>36</v>
      </c>
      <c r="J1228" s="32"/>
      <c r="K1228" s="10"/>
      <c r="L1228" s="32"/>
      <c r="M1228" s="10"/>
      <c r="N1228" s="33"/>
      <c r="O1228" s="11">
        <f>SUM(O1229)</f>
        <v>175</v>
      </c>
      <c r="P1228" s="185"/>
      <c r="Q1228" s="185"/>
    </row>
    <row r="1229" spans="1:17" hidden="1" outlineLevel="2">
      <c r="E1229" s="20"/>
      <c r="F1229" s="21"/>
      <c r="G1229" s="22"/>
      <c r="H1229" s="30"/>
      <c r="I1229" s="24"/>
      <c r="J1229" s="32"/>
      <c r="K1229" s="10"/>
      <c r="L1229" s="32"/>
      <c r="M1229" s="10"/>
      <c r="N1229" s="33">
        <v>175</v>
      </c>
      <c r="O1229" s="58">
        <f>ROUND(PRODUCT(J1229:N1229),2)</f>
        <v>175</v>
      </c>
      <c r="P1229" s="185"/>
      <c r="Q1229" s="185"/>
    </row>
    <row r="1230" spans="1:17" ht="30" hidden="1" outlineLevel="1">
      <c r="A1230" s="2">
        <v>5</v>
      </c>
      <c r="B1230" s="2">
        <v>11</v>
      </c>
      <c r="C1230" s="2">
        <f>1+C1228</f>
        <v>16</v>
      </c>
      <c r="E1230" s="20" t="str">
        <f>CONCATENATE(A1230,".",B1230,".",C1230)</f>
        <v>5.11.16</v>
      </c>
      <c r="F1230" s="21" t="s">
        <v>3200</v>
      </c>
      <c r="G1230" s="22">
        <v>91925</v>
      </c>
      <c r="H1230" s="23" t="s">
        <v>2046</v>
      </c>
      <c r="I1230" s="24" t="s">
        <v>144</v>
      </c>
      <c r="J1230" s="32"/>
      <c r="K1230" s="10"/>
      <c r="L1230" s="32"/>
      <c r="M1230" s="10"/>
      <c r="N1230" s="33"/>
      <c r="O1230" s="11">
        <f>SUM(O1231)</f>
        <v>14149</v>
      </c>
      <c r="P1230" s="185"/>
      <c r="Q1230" s="185"/>
    </row>
    <row r="1231" spans="1:17" hidden="1" outlineLevel="2">
      <c r="E1231" s="20"/>
      <c r="F1231" s="21"/>
      <c r="G1231" s="22"/>
      <c r="H1231" s="23"/>
      <c r="I1231" s="62"/>
      <c r="J1231" s="37"/>
      <c r="K1231" s="38"/>
      <c r="L1231" s="37"/>
      <c r="M1231" s="38"/>
      <c r="N1231" s="33">
        <v>14149</v>
      </c>
      <c r="O1231" s="58">
        <f>ROUND(PRODUCT(J1231:N1231),2)</f>
        <v>14149</v>
      </c>
      <c r="P1231" s="185"/>
      <c r="Q1231" s="185"/>
    </row>
    <row r="1232" spans="1:17" ht="30" hidden="1" outlineLevel="1">
      <c r="A1232" s="2">
        <v>5</v>
      </c>
      <c r="B1232" s="2">
        <v>11</v>
      </c>
      <c r="C1232" s="2">
        <f>1+C1230</f>
        <v>17</v>
      </c>
      <c r="E1232" s="20" t="str">
        <f>CONCATENATE(A1232,".",B1232,".",C1232)</f>
        <v>5.11.17</v>
      </c>
      <c r="F1232" s="21" t="s">
        <v>3201</v>
      </c>
      <c r="G1232" s="22">
        <v>91927</v>
      </c>
      <c r="H1232" s="23" t="s">
        <v>927</v>
      </c>
      <c r="I1232" s="24" t="s">
        <v>144</v>
      </c>
      <c r="J1232" s="32"/>
      <c r="K1232" s="10"/>
      <c r="L1232" s="32"/>
      <c r="M1232" s="10"/>
      <c r="N1232" s="33"/>
      <c r="O1232" s="11">
        <f>SUM(O1233)</f>
        <v>18881</v>
      </c>
      <c r="P1232" s="185"/>
      <c r="Q1232" s="185"/>
    </row>
    <row r="1233" spans="1:17" hidden="1" outlineLevel="2">
      <c r="E1233" s="20"/>
      <c r="F1233" s="21"/>
      <c r="G1233" s="22"/>
      <c r="H1233" s="23"/>
      <c r="I1233" s="62"/>
      <c r="J1233" s="37"/>
      <c r="K1233" s="38"/>
      <c r="L1233" s="37"/>
      <c r="M1233" s="38"/>
      <c r="N1233" s="33">
        <v>18881</v>
      </c>
      <c r="O1233" s="58">
        <f>ROUND(PRODUCT(J1233:N1233),2)</f>
        <v>18881</v>
      </c>
      <c r="P1233" s="185"/>
      <c r="Q1233" s="185"/>
    </row>
    <row r="1234" spans="1:17" ht="30" hidden="1" outlineLevel="1">
      <c r="A1234" s="2">
        <v>5</v>
      </c>
      <c r="B1234" s="2">
        <v>11</v>
      </c>
      <c r="C1234" s="2">
        <f>1+C1232</f>
        <v>18</v>
      </c>
      <c r="E1234" s="20" t="str">
        <f>CONCATENATE(A1234,".",B1234,".",C1234)</f>
        <v>5.11.18</v>
      </c>
      <c r="F1234" s="21" t="s">
        <v>3202</v>
      </c>
      <c r="G1234" s="22">
        <v>91929</v>
      </c>
      <c r="H1234" s="23" t="s">
        <v>930</v>
      </c>
      <c r="I1234" s="24" t="s">
        <v>144</v>
      </c>
      <c r="J1234" s="32"/>
      <c r="K1234" s="10"/>
      <c r="L1234" s="32"/>
      <c r="M1234" s="10"/>
      <c r="N1234" s="33"/>
      <c r="O1234" s="11">
        <f>SUM(O1235)</f>
        <v>5541</v>
      </c>
      <c r="P1234" s="185"/>
      <c r="Q1234" s="185"/>
    </row>
    <row r="1235" spans="1:17" hidden="1" outlineLevel="2">
      <c r="E1235" s="20"/>
      <c r="F1235" s="21"/>
      <c r="G1235" s="22"/>
      <c r="H1235" s="23"/>
      <c r="I1235" s="62"/>
      <c r="J1235" s="37"/>
      <c r="K1235" s="38"/>
      <c r="L1235" s="37"/>
      <c r="M1235" s="38"/>
      <c r="N1235" s="33">
        <v>5541</v>
      </c>
      <c r="O1235" s="58">
        <f>ROUND(PRODUCT(J1235:N1235),2)</f>
        <v>5541</v>
      </c>
      <c r="P1235" s="185"/>
      <c r="Q1235" s="185"/>
    </row>
    <row r="1236" spans="1:17" ht="30" hidden="1" outlineLevel="1">
      <c r="A1236" s="2">
        <v>5</v>
      </c>
      <c r="B1236" s="2">
        <v>11</v>
      </c>
      <c r="C1236" s="2">
        <f>1+C1234</f>
        <v>19</v>
      </c>
      <c r="E1236" s="20" t="str">
        <f>CONCATENATE(A1236,".",B1236,".",C1236)</f>
        <v>5.11.19</v>
      </c>
      <c r="F1236" s="21" t="s">
        <v>3203</v>
      </c>
      <c r="G1236" s="22">
        <v>91931</v>
      </c>
      <c r="H1236" s="23" t="s">
        <v>3204</v>
      </c>
      <c r="I1236" s="24" t="s">
        <v>144</v>
      </c>
      <c r="J1236" s="32"/>
      <c r="K1236" s="10"/>
      <c r="L1236" s="32"/>
      <c r="M1236" s="10"/>
      <c r="N1236" s="33"/>
      <c r="O1236" s="11">
        <f>SUM(O1237)</f>
        <v>3473</v>
      </c>
      <c r="P1236" s="185"/>
      <c r="Q1236" s="185"/>
    </row>
    <row r="1237" spans="1:17" hidden="1" outlineLevel="2">
      <c r="E1237" s="20"/>
      <c r="F1237" s="21"/>
      <c r="G1237" s="22"/>
      <c r="H1237" s="23"/>
      <c r="I1237" s="62"/>
      <c r="J1237" s="37"/>
      <c r="K1237" s="38"/>
      <c r="L1237" s="37"/>
      <c r="M1237" s="38"/>
      <c r="N1237" s="33">
        <v>3473</v>
      </c>
      <c r="O1237" s="58">
        <f>ROUND(PRODUCT(J1237:N1237),2)</f>
        <v>3473</v>
      </c>
      <c r="P1237" s="185"/>
      <c r="Q1237" s="185"/>
    </row>
    <row r="1238" spans="1:17" ht="30" hidden="1" outlineLevel="1">
      <c r="A1238" s="2">
        <v>5</v>
      </c>
      <c r="B1238" s="2">
        <v>11</v>
      </c>
      <c r="C1238" s="2">
        <f>1+C1236</f>
        <v>20</v>
      </c>
      <c r="E1238" s="20" t="str">
        <f>CONCATENATE(A1238,".",B1238,".",C1238)</f>
        <v>5.11.20</v>
      </c>
      <c r="F1238" s="21" t="s">
        <v>3205</v>
      </c>
      <c r="G1238" s="22">
        <v>91933</v>
      </c>
      <c r="H1238" s="23" t="s">
        <v>3206</v>
      </c>
      <c r="I1238" s="24" t="s">
        <v>144</v>
      </c>
      <c r="J1238" s="32"/>
      <c r="K1238" s="10"/>
      <c r="L1238" s="32"/>
      <c r="M1238" s="10"/>
      <c r="N1238" s="33"/>
      <c r="O1238" s="11">
        <f>SUM(O1239)</f>
        <v>763</v>
      </c>
      <c r="P1238" s="185"/>
      <c r="Q1238" s="185"/>
    </row>
    <row r="1239" spans="1:17" hidden="1" outlineLevel="2">
      <c r="E1239" s="20"/>
      <c r="F1239" s="21"/>
      <c r="G1239" s="22"/>
      <c r="H1239" s="23"/>
      <c r="I1239" s="62"/>
      <c r="J1239" s="37"/>
      <c r="K1239" s="38"/>
      <c r="L1239" s="37"/>
      <c r="M1239" s="38"/>
      <c r="N1239" s="38">
        <v>763</v>
      </c>
      <c r="O1239" s="58">
        <f>ROUND(PRODUCT(J1239:N1239),2)</f>
        <v>763</v>
      </c>
      <c r="P1239" s="185"/>
      <c r="Q1239" s="185"/>
    </row>
    <row r="1240" spans="1:17" ht="30" hidden="1" outlineLevel="1">
      <c r="A1240" s="2">
        <v>5</v>
      </c>
      <c r="B1240" s="2">
        <v>11</v>
      </c>
      <c r="C1240" s="2">
        <f>1+C1238</f>
        <v>21</v>
      </c>
      <c r="E1240" s="20" t="str">
        <f>CONCATENATE(A1240,".",B1240,".",C1240)</f>
        <v>5.11.21</v>
      </c>
      <c r="F1240" s="21" t="s">
        <v>3207</v>
      </c>
      <c r="G1240" s="22">
        <v>91935</v>
      </c>
      <c r="H1240" s="23" t="s">
        <v>2380</v>
      </c>
      <c r="I1240" s="24" t="s">
        <v>144</v>
      </c>
      <c r="J1240" s="32"/>
      <c r="K1240" s="10"/>
      <c r="L1240" s="32"/>
      <c r="M1240" s="10"/>
      <c r="N1240" s="33"/>
      <c r="O1240" s="11">
        <f>SUM(O1241)</f>
        <v>1473</v>
      </c>
      <c r="P1240" s="185"/>
      <c r="Q1240" s="185"/>
    </row>
    <row r="1241" spans="1:17" hidden="1" outlineLevel="2">
      <c r="E1241" s="20"/>
      <c r="F1241" s="21"/>
      <c r="G1241" s="22"/>
      <c r="H1241" s="23"/>
      <c r="I1241" s="62"/>
      <c r="J1241" s="37"/>
      <c r="K1241" s="38"/>
      <c r="L1241" s="37"/>
      <c r="M1241" s="38"/>
      <c r="N1241" s="38">
        <v>1473</v>
      </c>
      <c r="O1241" s="58">
        <f>ROUND(PRODUCT(J1241:N1241),2)</f>
        <v>1473</v>
      </c>
      <c r="P1241" s="185"/>
      <c r="Q1241" s="185"/>
    </row>
    <row r="1242" spans="1:17" ht="30" hidden="1" outlineLevel="1">
      <c r="A1242" s="2">
        <v>5</v>
      </c>
      <c r="B1242" s="2">
        <v>11</v>
      </c>
      <c r="C1242" s="2">
        <f>1+C1240</f>
        <v>22</v>
      </c>
      <c r="E1242" s="20" t="str">
        <f>CONCATENATE(A1242,".",B1242,".",C1242)</f>
        <v>5.11.22</v>
      </c>
      <c r="F1242" s="21" t="s">
        <v>3208</v>
      </c>
      <c r="G1242" s="22">
        <v>101889</v>
      </c>
      <c r="H1242" s="23" t="s">
        <v>2384</v>
      </c>
      <c r="I1242" s="24" t="s">
        <v>144</v>
      </c>
      <c r="J1242" s="32"/>
      <c r="K1242" s="10"/>
      <c r="L1242" s="32"/>
      <c r="M1242" s="10"/>
      <c r="N1242" s="33"/>
      <c r="O1242" s="11">
        <f>SUM(O1243)</f>
        <v>710</v>
      </c>
      <c r="P1242" s="185"/>
      <c r="Q1242" s="185"/>
    </row>
    <row r="1243" spans="1:17" hidden="1" outlineLevel="2">
      <c r="E1243" s="20"/>
      <c r="F1243" s="21"/>
      <c r="G1243" s="22"/>
      <c r="H1243" s="30"/>
      <c r="I1243" s="62"/>
      <c r="J1243" s="37"/>
      <c r="K1243" s="38"/>
      <c r="L1243" s="37"/>
      <c r="M1243" s="38"/>
      <c r="N1243" s="38">
        <v>710</v>
      </c>
      <c r="O1243" s="58">
        <f>ROUND(PRODUCT(J1243:N1243),2)</f>
        <v>710</v>
      </c>
      <c r="P1243" s="185"/>
      <c r="Q1243" s="185"/>
    </row>
    <row r="1244" spans="1:17" hidden="1" outlineLevel="1">
      <c r="A1244" s="2">
        <v>5</v>
      </c>
      <c r="B1244" s="2">
        <v>11</v>
      </c>
      <c r="C1244" s="2">
        <f>1+C1242</f>
        <v>23</v>
      </c>
      <c r="E1244" s="20" t="str">
        <f>CONCATENATE(A1244,".",B1244,".",C1244)</f>
        <v>5.11.23</v>
      </c>
      <c r="F1244" s="21" t="s">
        <v>3209</v>
      </c>
      <c r="G1244" s="22"/>
      <c r="H1244" s="23"/>
      <c r="I1244" s="24" t="s">
        <v>36</v>
      </c>
      <c r="J1244" s="32"/>
      <c r="K1244" s="10"/>
      <c r="L1244" s="32"/>
      <c r="M1244" s="10"/>
      <c r="N1244" s="33"/>
      <c r="O1244" s="11">
        <f>SUM(O1245)</f>
        <v>0</v>
      </c>
      <c r="P1244" s="185"/>
      <c r="Q1244" s="185"/>
    </row>
    <row r="1245" spans="1:17" hidden="1" outlineLevel="2">
      <c r="E1245" s="20"/>
      <c r="F1245" s="21"/>
      <c r="G1245" s="22"/>
      <c r="H1245" s="30"/>
      <c r="I1245" s="62"/>
      <c r="J1245" s="37"/>
      <c r="K1245" s="38"/>
      <c r="L1245" s="37"/>
      <c r="M1245" s="38"/>
      <c r="N1245" s="38"/>
      <c r="O1245" s="58">
        <f>ROUND(PRODUCT(J1245:N1245),2)</f>
        <v>0</v>
      </c>
      <c r="P1245" s="185"/>
      <c r="Q1245" s="185"/>
    </row>
    <row r="1246" spans="1:17" hidden="1" outlineLevel="1">
      <c r="A1246" s="2">
        <v>5</v>
      </c>
      <c r="B1246" s="2">
        <v>11</v>
      </c>
      <c r="C1246" s="2">
        <f>1+C1244</f>
        <v>24</v>
      </c>
      <c r="E1246" s="20" t="str">
        <f>CONCATENATE(A1246,".",B1246,".",C1246)</f>
        <v>5.11.24</v>
      </c>
      <c r="F1246" s="21" t="s">
        <v>3210</v>
      </c>
      <c r="G1246" s="22"/>
      <c r="H1246" s="23"/>
      <c r="I1246" s="24" t="s">
        <v>144</v>
      </c>
      <c r="J1246" s="32"/>
      <c r="K1246" s="10"/>
      <c r="L1246" s="32"/>
      <c r="M1246" s="10"/>
      <c r="N1246" s="33"/>
      <c r="O1246" s="11">
        <f>SUM(O1247)</f>
        <v>0</v>
      </c>
      <c r="P1246" s="185"/>
      <c r="Q1246" s="185"/>
    </row>
    <row r="1247" spans="1:17" hidden="1" outlineLevel="2">
      <c r="E1247" s="20"/>
      <c r="F1247" s="21"/>
      <c r="G1247" s="22"/>
      <c r="H1247" s="30"/>
      <c r="I1247" s="62"/>
      <c r="J1247" s="37"/>
      <c r="K1247" s="38"/>
      <c r="L1247" s="37"/>
      <c r="M1247" s="38"/>
      <c r="N1247" s="38"/>
      <c r="O1247" s="58">
        <f>ROUND(PRODUCT(J1247:N1247),2)</f>
        <v>0</v>
      </c>
      <c r="P1247" s="185"/>
      <c r="Q1247" s="185"/>
    </row>
    <row r="1248" spans="1:17" hidden="1" outlineLevel="1">
      <c r="A1248" s="2">
        <v>5</v>
      </c>
      <c r="B1248" s="2">
        <v>11</v>
      </c>
      <c r="C1248" s="2">
        <f>1+C1246</f>
        <v>25</v>
      </c>
      <c r="E1248" s="20" t="str">
        <f>CONCATENATE(A1248,".",B1248,".",C1248)</f>
        <v>5.11.25</v>
      </c>
      <c r="F1248" s="21" t="s">
        <v>3211</v>
      </c>
      <c r="G1248" s="22"/>
      <c r="H1248" s="23"/>
      <c r="I1248" s="24" t="s">
        <v>144</v>
      </c>
      <c r="J1248" s="32"/>
      <c r="K1248" s="10"/>
      <c r="L1248" s="32"/>
      <c r="M1248" s="10"/>
      <c r="N1248" s="33"/>
      <c r="O1248" s="11">
        <f>SUM(O1249)</f>
        <v>0</v>
      </c>
      <c r="P1248" s="185"/>
      <c r="Q1248" s="185"/>
    </row>
    <row r="1249" spans="1:17" hidden="1" outlineLevel="2">
      <c r="E1249" s="20"/>
      <c r="F1249" s="21"/>
      <c r="G1249" s="22"/>
      <c r="H1249" s="30"/>
      <c r="I1249" s="62"/>
      <c r="J1249" s="37"/>
      <c r="K1249" s="38"/>
      <c r="L1249" s="37"/>
      <c r="M1249" s="38"/>
      <c r="N1249" s="38"/>
      <c r="O1249" s="58">
        <f>ROUND(PRODUCT(J1249:N1249),2)</f>
        <v>0</v>
      </c>
      <c r="P1249" s="185"/>
      <c r="Q1249" s="185"/>
    </row>
    <row r="1250" spans="1:17" hidden="1" outlineLevel="1">
      <c r="A1250" s="2">
        <v>5</v>
      </c>
      <c r="B1250" s="2">
        <v>11</v>
      </c>
      <c r="C1250" s="2">
        <f>1+C1248</f>
        <v>26</v>
      </c>
      <c r="E1250" s="20" t="str">
        <f>CONCATENATE(A1250,".",B1250,".",C1250)</f>
        <v>5.11.26</v>
      </c>
      <c r="F1250" s="21" t="s">
        <v>3212</v>
      </c>
      <c r="G1250" s="22"/>
      <c r="H1250" s="23"/>
      <c r="I1250" s="24" t="s">
        <v>144</v>
      </c>
      <c r="J1250" s="32"/>
      <c r="K1250" s="10"/>
      <c r="L1250" s="32"/>
      <c r="M1250" s="10"/>
      <c r="N1250" s="33"/>
      <c r="O1250" s="11">
        <f>SUM(O1251)</f>
        <v>0</v>
      </c>
      <c r="P1250" s="185"/>
      <c r="Q1250" s="185"/>
    </row>
    <row r="1251" spans="1:17" hidden="1" outlineLevel="2">
      <c r="E1251" s="20"/>
      <c r="F1251" s="21"/>
      <c r="G1251" s="22"/>
      <c r="H1251" s="30"/>
      <c r="I1251" s="62"/>
      <c r="J1251" s="37"/>
      <c r="K1251" s="38"/>
      <c r="L1251" s="37"/>
      <c r="M1251" s="38"/>
      <c r="N1251" s="38"/>
      <c r="O1251" s="58">
        <f>ROUND(PRODUCT(J1251:N1251),2)</f>
        <v>0</v>
      </c>
      <c r="P1251" s="185"/>
      <c r="Q1251" s="185"/>
    </row>
    <row r="1252" spans="1:17" hidden="1" outlineLevel="1">
      <c r="A1252" s="2">
        <v>5</v>
      </c>
      <c r="B1252" s="2">
        <v>11</v>
      </c>
      <c r="C1252" s="2">
        <f>1+C1250</f>
        <v>27</v>
      </c>
      <c r="E1252" s="20" t="str">
        <f>CONCATENATE(A1252,".",B1252,".",C1252)</f>
        <v>5.11.27</v>
      </c>
      <c r="F1252" s="21" t="s">
        <v>3213</v>
      </c>
      <c r="G1252" s="22"/>
      <c r="H1252" s="23"/>
      <c r="I1252" s="24" t="s">
        <v>36</v>
      </c>
      <c r="J1252" s="32"/>
      <c r="K1252" s="10"/>
      <c r="L1252" s="32"/>
      <c r="M1252" s="10"/>
      <c r="N1252" s="33"/>
      <c r="O1252" s="11">
        <f>SUM(O1253)</f>
        <v>0</v>
      </c>
      <c r="P1252" s="185"/>
      <c r="Q1252" s="185"/>
    </row>
    <row r="1253" spans="1:17" hidden="1" outlineLevel="2">
      <c r="E1253" s="20"/>
      <c r="F1253" s="21"/>
      <c r="G1253" s="22"/>
      <c r="H1253" s="30"/>
      <c r="I1253" s="62"/>
      <c r="J1253" s="37"/>
      <c r="K1253" s="38"/>
      <c r="L1253" s="37"/>
      <c r="M1253" s="38"/>
      <c r="N1253" s="38"/>
      <c r="O1253" s="58">
        <f>ROUND(PRODUCT(J1253:N1253),2)</f>
        <v>0</v>
      </c>
      <c r="P1253" s="185"/>
      <c r="Q1253" s="185"/>
    </row>
    <row r="1254" spans="1:17" hidden="1" outlineLevel="1">
      <c r="A1254" s="2">
        <v>5</v>
      </c>
      <c r="B1254" s="2">
        <v>11</v>
      </c>
      <c r="C1254" s="2">
        <f>1+C1252</f>
        <v>28</v>
      </c>
      <c r="E1254" s="20" t="str">
        <f>CONCATENATE(A1254,".",B1254,".",C1254)</f>
        <v>5.11.28</v>
      </c>
      <c r="F1254" s="21" t="s">
        <v>3214</v>
      </c>
      <c r="G1254" s="22"/>
      <c r="H1254" s="23"/>
      <c r="I1254" s="24" t="s">
        <v>36</v>
      </c>
      <c r="J1254" s="32"/>
      <c r="K1254" s="10"/>
      <c r="L1254" s="32"/>
      <c r="M1254" s="10"/>
      <c r="N1254" s="33"/>
      <c r="O1254" s="11">
        <f>SUM(O1255)</f>
        <v>0</v>
      </c>
      <c r="P1254" s="185"/>
      <c r="Q1254" s="185"/>
    </row>
    <row r="1255" spans="1:17" hidden="1" outlineLevel="2">
      <c r="E1255" s="20"/>
      <c r="F1255" s="21"/>
      <c r="G1255" s="22"/>
      <c r="H1255" s="30"/>
      <c r="I1255" s="62"/>
      <c r="J1255" s="37"/>
      <c r="K1255" s="38"/>
      <c r="L1255" s="37"/>
      <c r="M1255" s="38"/>
      <c r="N1255" s="38"/>
      <c r="O1255" s="58">
        <f>ROUND(PRODUCT(J1255:N1255),2)</f>
        <v>0</v>
      </c>
      <c r="P1255" s="185"/>
      <c r="Q1255" s="185"/>
    </row>
    <row r="1256" spans="1:17" hidden="1" outlineLevel="1">
      <c r="A1256" s="2">
        <v>5</v>
      </c>
      <c r="B1256" s="2">
        <v>11</v>
      </c>
      <c r="C1256" s="2">
        <f>1+C1254</f>
        <v>29</v>
      </c>
      <c r="E1256" s="20" t="str">
        <f>CONCATENATE(A1256,".",B1256,".",C1256)</f>
        <v>5.11.29</v>
      </c>
      <c r="F1256" s="21" t="s">
        <v>3215</v>
      </c>
      <c r="G1256" s="22"/>
      <c r="H1256" s="23"/>
      <c r="I1256" s="24" t="s">
        <v>36</v>
      </c>
      <c r="J1256" s="32"/>
      <c r="K1256" s="10"/>
      <c r="L1256" s="32"/>
      <c r="M1256" s="10"/>
      <c r="N1256" s="33"/>
      <c r="O1256" s="11">
        <f>SUM(O1257)</f>
        <v>0</v>
      </c>
      <c r="P1256" s="185"/>
      <c r="Q1256" s="185"/>
    </row>
    <row r="1257" spans="1:17" hidden="1" outlineLevel="2">
      <c r="E1257" s="20"/>
      <c r="F1257" s="21"/>
      <c r="G1257" s="22"/>
      <c r="H1257" s="30"/>
      <c r="I1257" s="62"/>
      <c r="J1257" s="37"/>
      <c r="K1257" s="38"/>
      <c r="L1257" s="37"/>
      <c r="M1257" s="38"/>
      <c r="N1257" s="38"/>
      <c r="O1257" s="58">
        <f>ROUND(PRODUCT(J1257:N1257),2)</f>
        <v>0</v>
      </c>
      <c r="P1257" s="185"/>
      <c r="Q1257" s="185"/>
    </row>
    <row r="1258" spans="1:17" ht="45" hidden="1" outlineLevel="1">
      <c r="A1258" s="2">
        <v>5</v>
      </c>
      <c r="B1258" s="2">
        <v>11</v>
      </c>
      <c r="C1258" s="2">
        <f>1+C1256</f>
        <v>30</v>
      </c>
      <c r="E1258" s="20" t="str">
        <f>CONCATENATE(A1258,".",B1258,".",C1258)</f>
        <v>5.11.30</v>
      </c>
      <c r="F1258" s="21" t="s">
        <v>3216</v>
      </c>
      <c r="G1258" s="22">
        <v>101883</v>
      </c>
      <c r="H1258" s="23" t="s">
        <v>694</v>
      </c>
      <c r="I1258" s="24" t="s">
        <v>36</v>
      </c>
      <c r="J1258" s="32"/>
      <c r="K1258" s="10"/>
      <c r="L1258" s="32"/>
      <c r="M1258" s="10"/>
      <c r="N1258" s="33"/>
      <c r="O1258" s="11">
        <f>SUM(O1259)</f>
        <v>2</v>
      </c>
      <c r="P1258" s="185"/>
      <c r="Q1258" s="185"/>
    </row>
    <row r="1259" spans="1:17" hidden="1" outlineLevel="2">
      <c r="E1259" s="20"/>
      <c r="F1259" s="21"/>
      <c r="G1259" s="22"/>
      <c r="H1259" s="30"/>
      <c r="I1259" s="62"/>
      <c r="J1259" s="37"/>
      <c r="K1259" s="38"/>
      <c r="L1259" s="37"/>
      <c r="M1259" s="38"/>
      <c r="N1259" s="38">
        <v>2</v>
      </c>
      <c r="O1259" s="58">
        <f>ROUND(PRODUCT(J1259:N1259),2)</f>
        <v>2</v>
      </c>
      <c r="P1259" s="185"/>
      <c r="Q1259" s="185"/>
    </row>
    <row r="1260" spans="1:17" ht="45" hidden="1" outlineLevel="1">
      <c r="A1260" s="2">
        <v>5</v>
      </c>
      <c r="B1260" s="2">
        <v>11</v>
      </c>
      <c r="C1260" s="2">
        <f>1+C1258</f>
        <v>31</v>
      </c>
      <c r="E1260" s="20" t="str">
        <f>CONCATENATE(A1260,".",B1260,".",C1260)</f>
        <v>5.11.31</v>
      </c>
      <c r="F1260" s="21" t="s">
        <v>3217</v>
      </c>
      <c r="G1260" s="22">
        <v>101879</v>
      </c>
      <c r="H1260" s="23" t="s">
        <v>691</v>
      </c>
      <c r="I1260" s="24" t="s">
        <v>36</v>
      </c>
      <c r="J1260" s="32"/>
      <c r="K1260" s="10"/>
      <c r="L1260" s="32"/>
      <c r="M1260" s="10"/>
      <c r="N1260" s="33"/>
      <c r="O1260" s="11">
        <f>SUM(O1261)</f>
        <v>6</v>
      </c>
      <c r="P1260" s="185"/>
      <c r="Q1260" s="185"/>
    </row>
    <row r="1261" spans="1:17" hidden="1" outlineLevel="2">
      <c r="E1261" s="20"/>
      <c r="F1261" s="21"/>
      <c r="G1261" s="22"/>
      <c r="H1261" s="30"/>
      <c r="I1261" s="62"/>
      <c r="J1261" s="37"/>
      <c r="K1261" s="38"/>
      <c r="L1261" s="37"/>
      <c r="M1261" s="38"/>
      <c r="N1261" s="38">
        <v>6</v>
      </c>
      <c r="O1261" s="58">
        <f>ROUND(PRODUCT(J1261:N1261),2)</f>
        <v>6</v>
      </c>
      <c r="P1261" s="185"/>
      <c r="Q1261" s="185"/>
    </row>
    <row r="1262" spans="1:17" ht="45" hidden="1" outlineLevel="1">
      <c r="A1262" s="2">
        <v>5</v>
      </c>
      <c r="B1262" s="2">
        <v>11</v>
      </c>
      <c r="C1262" s="2">
        <f>1+C1260</f>
        <v>32</v>
      </c>
      <c r="E1262" s="20" t="str">
        <f>CONCATENATE(A1262,".",B1262,".",C1262)</f>
        <v>5.11.32</v>
      </c>
      <c r="F1262" s="21" t="s">
        <v>3218</v>
      </c>
      <c r="G1262" s="22">
        <v>101881</v>
      </c>
      <c r="H1262" s="23" t="s">
        <v>3219</v>
      </c>
      <c r="I1262" s="24" t="s">
        <v>36</v>
      </c>
      <c r="J1262" s="32"/>
      <c r="K1262" s="10"/>
      <c r="L1262" s="32"/>
      <c r="M1262" s="10"/>
      <c r="N1262" s="33"/>
      <c r="O1262" s="11">
        <f>SUM(O1263)</f>
        <v>4</v>
      </c>
      <c r="P1262" s="185"/>
      <c r="Q1262" s="185"/>
    </row>
    <row r="1263" spans="1:17" hidden="1" outlineLevel="2">
      <c r="E1263" s="20"/>
      <c r="F1263" s="21"/>
      <c r="G1263" s="22"/>
      <c r="H1263" s="30"/>
      <c r="I1263" s="62"/>
      <c r="J1263" s="37"/>
      <c r="K1263" s="38"/>
      <c r="L1263" s="37"/>
      <c r="M1263" s="38"/>
      <c r="N1263" s="38">
        <v>4</v>
      </c>
      <c r="O1263" s="58">
        <f>ROUND(PRODUCT(J1263:N1263),2)</f>
        <v>4</v>
      </c>
      <c r="P1263" s="185"/>
      <c r="Q1263" s="185"/>
    </row>
    <row r="1264" spans="1:17" ht="30" hidden="1" outlineLevel="1">
      <c r="A1264" s="2">
        <v>5</v>
      </c>
      <c r="B1264" s="2">
        <v>11</v>
      </c>
      <c r="C1264" s="2">
        <f>1+C1262</f>
        <v>33</v>
      </c>
      <c r="E1264" s="20" t="str">
        <f>CONCATENATE(A1264,".",B1264,".",C1264)</f>
        <v>5.11.33</v>
      </c>
      <c r="F1264" s="21" t="s">
        <v>3220</v>
      </c>
      <c r="G1264" s="22">
        <v>97597</v>
      </c>
      <c r="H1264" s="23" t="s">
        <v>3221</v>
      </c>
      <c r="I1264" s="24" t="s">
        <v>36</v>
      </c>
      <c r="J1264" s="32"/>
      <c r="K1264" s="10"/>
      <c r="L1264" s="32"/>
      <c r="M1264" s="10"/>
      <c r="N1264" s="33"/>
      <c r="O1264" s="11">
        <f>SUM(O1265)</f>
        <v>8</v>
      </c>
      <c r="P1264" s="185"/>
      <c r="Q1264" s="185"/>
    </row>
    <row r="1265" spans="1:17" hidden="1" outlineLevel="2">
      <c r="E1265" s="20"/>
      <c r="F1265" s="21"/>
      <c r="G1265" s="22"/>
      <c r="H1265" s="30"/>
      <c r="I1265" s="62"/>
      <c r="J1265" s="37"/>
      <c r="K1265" s="38"/>
      <c r="L1265" s="37"/>
      <c r="M1265" s="38"/>
      <c r="N1265" s="38">
        <v>8</v>
      </c>
      <c r="O1265" s="58">
        <f>ROUND(PRODUCT(J1265:N1265),2)</f>
        <v>8</v>
      </c>
      <c r="P1265" s="185"/>
      <c r="Q1265" s="185"/>
    </row>
    <row r="1266" spans="1:17" hidden="1" outlineLevel="1">
      <c r="A1266" s="2">
        <v>5</v>
      </c>
      <c r="B1266" s="2">
        <v>11</v>
      </c>
      <c r="C1266" s="2">
        <f>1+C1264</f>
        <v>34</v>
      </c>
      <c r="E1266" s="20" t="str">
        <f>CONCATENATE(A1266,".",B1266,".",C1266)</f>
        <v>5.11.34</v>
      </c>
      <c r="F1266" s="21" t="s">
        <v>3222</v>
      </c>
      <c r="G1266" s="22" t="s">
        <v>3223</v>
      </c>
      <c r="H1266" s="23" t="s">
        <v>3224</v>
      </c>
      <c r="I1266" s="24" t="s">
        <v>36</v>
      </c>
      <c r="J1266" s="32"/>
      <c r="K1266" s="10"/>
      <c r="L1266" s="32"/>
      <c r="M1266" s="10"/>
      <c r="N1266" s="33"/>
      <c r="O1266" s="11">
        <f>SUM(O1267)</f>
        <v>118</v>
      </c>
      <c r="P1266" s="185"/>
      <c r="Q1266" s="185"/>
    </row>
    <row r="1267" spans="1:17" hidden="1" outlineLevel="2">
      <c r="E1267" s="20"/>
      <c r="F1267" s="21"/>
      <c r="G1267" s="22"/>
      <c r="H1267" s="30"/>
      <c r="I1267" s="62"/>
      <c r="J1267" s="37"/>
      <c r="K1267" s="38"/>
      <c r="L1267" s="37"/>
      <c r="M1267" s="38"/>
      <c r="N1267" s="38">
        <v>118</v>
      </c>
      <c r="O1267" s="58">
        <f>ROUND(PRODUCT(J1267:N1267),2)</f>
        <v>118</v>
      </c>
      <c r="P1267" s="185"/>
      <c r="Q1267" s="185"/>
    </row>
    <row r="1268" spans="1:17" hidden="1" outlineLevel="1">
      <c r="A1268" s="2">
        <v>5</v>
      </c>
      <c r="B1268" s="2">
        <v>11</v>
      </c>
      <c r="C1268" s="2">
        <f>1+C1266</f>
        <v>35</v>
      </c>
      <c r="E1268" s="20" t="str">
        <f>CONCATENATE(A1268,".",B1268,".",C1268)</f>
        <v>5.11.35</v>
      </c>
      <c r="F1268" s="21" t="s">
        <v>3225</v>
      </c>
      <c r="G1268" s="22" t="s">
        <v>3226</v>
      </c>
      <c r="H1268" s="23" t="s">
        <v>3227</v>
      </c>
      <c r="I1268" s="24" t="s">
        <v>36</v>
      </c>
      <c r="J1268" s="32"/>
      <c r="K1268" s="10"/>
      <c r="L1268" s="32"/>
      <c r="M1268" s="10"/>
      <c r="N1268" s="33"/>
      <c r="O1268" s="11">
        <f>SUM(O1269)</f>
        <v>174</v>
      </c>
      <c r="P1268" s="185"/>
      <c r="Q1268" s="185"/>
    </row>
    <row r="1269" spans="1:17" hidden="1" outlineLevel="2">
      <c r="E1269" s="20"/>
      <c r="F1269" s="21"/>
      <c r="G1269" s="22"/>
      <c r="H1269" s="30"/>
      <c r="I1269" s="62"/>
      <c r="J1269" s="37"/>
      <c r="K1269" s="38"/>
      <c r="L1269" s="37"/>
      <c r="M1269" s="38"/>
      <c r="N1269" s="38">
        <v>174</v>
      </c>
      <c r="O1269" s="58">
        <f>ROUND(PRODUCT(J1269:N1269),2)</f>
        <v>174</v>
      </c>
      <c r="P1269" s="185"/>
      <c r="Q1269" s="185"/>
    </row>
    <row r="1270" spans="1:17" hidden="1" outlineLevel="1">
      <c r="A1270" s="2">
        <v>5</v>
      </c>
      <c r="B1270" s="2">
        <v>11</v>
      </c>
      <c r="C1270" s="2">
        <f>1+C1268</f>
        <v>36</v>
      </c>
      <c r="E1270" s="20" t="str">
        <f>CONCATENATE(A1270,".",B1270,".",C1270)</f>
        <v>5.11.36</v>
      </c>
      <c r="F1270" s="21" t="s">
        <v>3228</v>
      </c>
      <c r="G1270" s="22" t="s">
        <v>3229</v>
      </c>
      <c r="H1270" s="23" t="s">
        <v>3230</v>
      </c>
      <c r="I1270" s="24" t="s">
        <v>36</v>
      </c>
      <c r="J1270" s="32"/>
      <c r="K1270" s="10"/>
      <c r="L1270" s="32"/>
      <c r="M1270" s="10"/>
      <c r="N1270" s="33"/>
      <c r="O1270" s="11">
        <f>SUM(O1271)</f>
        <v>12</v>
      </c>
      <c r="P1270" s="185"/>
      <c r="Q1270" s="185"/>
    </row>
    <row r="1271" spans="1:17" hidden="1" outlineLevel="2">
      <c r="E1271" s="20"/>
      <c r="F1271" s="21"/>
      <c r="G1271" s="22"/>
      <c r="H1271" s="30"/>
      <c r="I1271" s="62"/>
      <c r="J1271" s="37"/>
      <c r="K1271" s="38"/>
      <c r="L1271" s="37"/>
      <c r="M1271" s="38"/>
      <c r="N1271" s="38">
        <v>12</v>
      </c>
      <c r="O1271" s="58">
        <f>ROUND(PRODUCT(J1271:N1271),2)</f>
        <v>12</v>
      </c>
      <c r="P1271" s="185"/>
      <c r="Q1271" s="185"/>
    </row>
    <row r="1272" spans="1:17" hidden="1" outlineLevel="1">
      <c r="A1272" s="2">
        <v>5</v>
      </c>
      <c r="B1272" s="2">
        <v>11</v>
      </c>
      <c r="C1272" s="2">
        <f>1+C1270</f>
        <v>37</v>
      </c>
      <c r="E1272" s="20" t="str">
        <f>CONCATENATE(A1272,".",B1272,".",C1272)</f>
        <v>5.11.37</v>
      </c>
      <c r="F1272" s="21" t="s">
        <v>3231</v>
      </c>
      <c r="G1272" s="22" t="s">
        <v>3232</v>
      </c>
      <c r="H1272" s="23" t="s">
        <v>3233</v>
      </c>
      <c r="I1272" s="24" t="s">
        <v>36</v>
      </c>
      <c r="J1272" s="32"/>
      <c r="K1272" s="10"/>
      <c r="L1272" s="32"/>
      <c r="M1272" s="10"/>
      <c r="N1272" s="33"/>
      <c r="O1272" s="11">
        <f>SUM(O1273)</f>
        <v>5</v>
      </c>
      <c r="P1272" s="185"/>
      <c r="Q1272" s="185"/>
    </row>
    <row r="1273" spans="1:17" hidden="1" outlineLevel="2">
      <c r="E1273" s="20"/>
      <c r="F1273" s="21"/>
      <c r="G1273" s="22"/>
      <c r="H1273" s="30"/>
      <c r="I1273" s="62"/>
      <c r="J1273" s="37"/>
      <c r="K1273" s="38"/>
      <c r="L1273" s="37"/>
      <c r="M1273" s="38"/>
      <c r="N1273" s="38">
        <v>5</v>
      </c>
      <c r="O1273" s="58">
        <f>ROUND(PRODUCT(J1273:N1273),2)</f>
        <v>5</v>
      </c>
      <c r="P1273" s="185"/>
      <c r="Q1273" s="185"/>
    </row>
    <row r="1274" spans="1:17" hidden="1" outlineLevel="1">
      <c r="A1274" s="2">
        <v>5</v>
      </c>
      <c r="B1274" s="2">
        <v>11</v>
      </c>
      <c r="C1274" s="2">
        <f>1+C1272</f>
        <v>38</v>
      </c>
      <c r="E1274" s="20" t="str">
        <f>CONCATENATE(A1274,".",B1274,".",C1274)</f>
        <v>5.11.38</v>
      </c>
      <c r="F1274" s="21" t="s">
        <v>3234</v>
      </c>
      <c r="G1274" s="22" t="s">
        <v>3235</v>
      </c>
      <c r="H1274" s="23" t="s">
        <v>3236</v>
      </c>
      <c r="I1274" s="24" t="s">
        <v>36</v>
      </c>
      <c r="J1274" s="32"/>
      <c r="K1274" s="10"/>
      <c r="L1274" s="32"/>
      <c r="M1274" s="10"/>
      <c r="N1274" s="33"/>
      <c r="O1274" s="11">
        <f>SUM(O1275)</f>
        <v>100</v>
      </c>
      <c r="P1274" s="185"/>
      <c r="Q1274" s="185"/>
    </row>
    <row r="1275" spans="1:17" hidden="1" outlineLevel="2">
      <c r="E1275" s="20"/>
      <c r="F1275" s="21"/>
      <c r="G1275" s="22"/>
      <c r="H1275" s="30"/>
      <c r="I1275" s="62"/>
      <c r="J1275" s="37"/>
      <c r="K1275" s="38"/>
      <c r="L1275" s="37"/>
      <c r="M1275" s="38"/>
      <c r="N1275" s="38">
        <v>100</v>
      </c>
      <c r="O1275" s="58">
        <f>ROUND(PRODUCT(J1275:N1275),2)</f>
        <v>100</v>
      </c>
      <c r="P1275" s="185"/>
      <c r="Q1275" s="185"/>
    </row>
    <row r="1276" spans="1:17" hidden="1" outlineLevel="1">
      <c r="A1276" s="2">
        <v>5</v>
      </c>
      <c r="B1276" s="2">
        <v>11</v>
      </c>
      <c r="C1276" s="2">
        <f>1+C1274</f>
        <v>39</v>
      </c>
      <c r="E1276" s="20" t="str">
        <f>CONCATENATE(A1276,".",B1276,".",C1276)</f>
        <v>5.11.39</v>
      </c>
      <c r="F1276" s="21" t="s">
        <v>3237</v>
      </c>
      <c r="G1276" s="22" t="s">
        <v>3238</v>
      </c>
      <c r="H1276" s="23" t="s">
        <v>3239</v>
      </c>
      <c r="I1276" s="24" t="s">
        <v>36</v>
      </c>
      <c r="J1276" s="32"/>
      <c r="K1276" s="10"/>
      <c r="L1276" s="32"/>
      <c r="M1276" s="10"/>
      <c r="N1276" s="33"/>
      <c r="O1276" s="11">
        <f>SUM(O1277)</f>
        <v>62</v>
      </c>
      <c r="P1276" s="185"/>
      <c r="Q1276" s="185"/>
    </row>
    <row r="1277" spans="1:17" hidden="1" outlineLevel="2">
      <c r="E1277" s="20"/>
      <c r="F1277" s="21"/>
      <c r="G1277" s="22"/>
      <c r="H1277" s="30"/>
      <c r="I1277" s="62"/>
      <c r="J1277" s="37"/>
      <c r="K1277" s="38"/>
      <c r="L1277" s="37"/>
      <c r="M1277" s="38"/>
      <c r="N1277" s="38">
        <f>2+60</f>
        <v>62</v>
      </c>
      <c r="O1277" s="58">
        <f>ROUND(PRODUCT(J1277:N1277),2)</f>
        <v>62</v>
      </c>
      <c r="P1277" s="185"/>
      <c r="Q1277" s="185"/>
    </row>
    <row r="1278" spans="1:17" hidden="1" outlineLevel="1">
      <c r="A1278" s="2">
        <v>5</v>
      </c>
      <c r="B1278" s="2">
        <v>11</v>
      </c>
      <c r="C1278" s="2">
        <f>1+C1276</f>
        <v>40</v>
      </c>
      <c r="E1278" s="20" t="str">
        <f>CONCATENATE(A1278,".",B1278,".",C1278)</f>
        <v>5.11.40</v>
      </c>
      <c r="F1278" s="21" t="s">
        <v>3240</v>
      </c>
      <c r="G1278" s="22" t="s">
        <v>3241</v>
      </c>
      <c r="H1278" s="23" t="s">
        <v>3242</v>
      </c>
      <c r="I1278" s="24" t="s">
        <v>36</v>
      </c>
      <c r="J1278" s="32"/>
      <c r="K1278" s="10"/>
      <c r="L1278" s="32"/>
      <c r="M1278" s="10"/>
      <c r="N1278" s="33"/>
      <c r="O1278" s="11">
        <f>SUM(O1279)</f>
        <v>4</v>
      </c>
      <c r="P1278" s="185"/>
      <c r="Q1278" s="185"/>
    </row>
    <row r="1279" spans="1:17" hidden="1" outlineLevel="2">
      <c r="E1279" s="20"/>
      <c r="F1279" s="21"/>
      <c r="G1279" s="22"/>
      <c r="H1279" s="30"/>
      <c r="I1279" s="62"/>
      <c r="J1279" s="37"/>
      <c r="K1279" s="38"/>
      <c r="L1279" s="37"/>
      <c r="M1279" s="38"/>
      <c r="N1279" s="38">
        <v>4</v>
      </c>
      <c r="O1279" s="58">
        <f>ROUND(PRODUCT(J1279:N1279),2)</f>
        <v>4</v>
      </c>
      <c r="P1279" s="185"/>
      <c r="Q1279" s="185"/>
    </row>
    <row r="1280" spans="1:17" hidden="1" outlineLevel="1">
      <c r="A1280" s="2">
        <v>5</v>
      </c>
      <c r="B1280" s="2">
        <v>11</v>
      </c>
      <c r="C1280" s="2">
        <f>1+C1278</f>
        <v>41</v>
      </c>
      <c r="E1280" s="20" t="str">
        <f>CONCATENATE(A1280,".",B1280,".",C1280)</f>
        <v>5.11.41</v>
      </c>
      <c r="F1280" s="21" t="s">
        <v>3243</v>
      </c>
      <c r="G1280" s="22" t="s">
        <v>3244</v>
      </c>
      <c r="H1280" s="23" t="s">
        <v>3245</v>
      </c>
      <c r="I1280" s="24" t="s">
        <v>36</v>
      </c>
      <c r="J1280" s="32"/>
      <c r="K1280" s="10"/>
      <c r="L1280" s="32"/>
      <c r="M1280" s="10"/>
      <c r="N1280" s="33"/>
      <c r="O1280" s="11">
        <f>SUM(O1281)</f>
        <v>6</v>
      </c>
      <c r="P1280" s="185"/>
      <c r="Q1280" s="185"/>
    </row>
    <row r="1281" spans="1:17" hidden="1" outlineLevel="2">
      <c r="E1281" s="20"/>
      <c r="F1281" s="21"/>
      <c r="G1281" s="22"/>
      <c r="H1281" s="30"/>
      <c r="I1281" s="62"/>
      <c r="J1281" s="37"/>
      <c r="K1281" s="38"/>
      <c r="L1281" s="37"/>
      <c r="M1281" s="38"/>
      <c r="N1281" s="38">
        <v>6</v>
      </c>
      <c r="O1281" s="58">
        <f>ROUND(PRODUCT(J1281:N1281),2)</f>
        <v>6</v>
      </c>
      <c r="P1281" s="185"/>
      <c r="Q1281" s="185"/>
    </row>
    <row r="1282" spans="1:17" hidden="1" outlineLevel="1">
      <c r="A1282" s="2">
        <v>5</v>
      </c>
      <c r="B1282" s="2">
        <v>11</v>
      </c>
      <c r="C1282" s="2">
        <f>1+C1280</f>
        <v>42</v>
      </c>
      <c r="E1282" s="20" t="str">
        <f>CONCATENATE(A1282,".",B1282,".",C1282)</f>
        <v>5.11.42</v>
      </c>
      <c r="F1282" s="21" t="s">
        <v>3246</v>
      </c>
      <c r="G1282" s="22" t="s">
        <v>3247</v>
      </c>
      <c r="H1282" s="23" t="s">
        <v>3248</v>
      </c>
      <c r="I1282" s="24" t="s">
        <v>36</v>
      </c>
      <c r="J1282" s="32"/>
      <c r="K1282" s="10"/>
      <c r="L1282" s="32"/>
      <c r="M1282" s="10"/>
      <c r="N1282" s="33"/>
      <c r="O1282" s="11">
        <f>SUM(O1283)</f>
        <v>2</v>
      </c>
      <c r="P1282" s="185"/>
      <c r="Q1282" s="185"/>
    </row>
    <row r="1283" spans="1:17" hidden="1" outlineLevel="2">
      <c r="E1283" s="20"/>
      <c r="F1283" s="21"/>
      <c r="G1283" s="22"/>
      <c r="H1283" s="30"/>
      <c r="I1283" s="62"/>
      <c r="J1283" s="37"/>
      <c r="K1283" s="38"/>
      <c r="L1283" s="37"/>
      <c r="M1283" s="38"/>
      <c r="N1283" s="38">
        <v>2</v>
      </c>
      <c r="O1283" s="58">
        <f>ROUND(PRODUCT(J1283:N1283),2)</f>
        <v>2</v>
      </c>
      <c r="P1283" s="185"/>
      <c r="Q1283" s="185"/>
    </row>
    <row r="1284" spans="1:17" ht="30" hidden="1" outlineLevel="1">
      <c r="A1284" s="2">
        <v>5</v>
      </c>
      <c r="B1284" s="2">
        <v>11</v>
      </c>
      <c r="C1284" s="2">
        <f>1+C1282</f>
        <v>43</v>
      </c>
      <c r="E1284" s="20" t="str">
        <f>CONCATENATE(A1284,".",B1284,".",C1284)</f>
        <v>5.11.43</v>
      </c>
      <c r="F1284" s="21" t="s">
        <v>3249</v>
      </c>
      <c r="G1284" s="22" t="s">
        <v>3250</v>
      </c>
      <c r="H1284" s="23" t="s">
        <v>3251</v>
      </c>
      <c r="I1284" s="24" t="s">
        <v>36</v>
      </c>
      <c r="J1284" s="32"/>
      <c r="K1284" s="10"/>
      <c r="L1284" s="32"/>
      <c r="M1284" s="10"/>
      <c r="N1284" s="33"/>
      <c r="O1284" s="11">
        <f>SUM(O1285)</f>
        <v>56</v>
      </c>
      <c r="P1284" s="185"/>
      <c r="Q1284" s="185"/>
    </row>
    <row r="1285" spans="1:17" hidden="1" outlineLevel="2">
      <c r="E1285" s="20"/>
      <c r="F1285" s="21"/>
      <c r="G1285" s="22"/>
      <c r="H1285" s="30"/>
      <c r="I1285" s="62"/>
      <c r="J1285" s="37"/>
      <c r="K1285" s="38"/>
      <c r="L1285" s="37"/>
      <c r="M1285" s="38"/>
      <c r="N1285" s="38">
        <f>48+8</f>
        <v>56</v>
      </c>
      <c r="O1285" s="58">
        <f>ROUND(PRODUCT(J1285:N1285),2)</f>
        <v>56</v>
      </c>
      <c r="P1285" s="185"/>
      <c r="Q1285" s="185"/>
    </row>
    <row r="1286" spans="1:17" ht="30" hidden="1" outlineLevel="1">
      <c r="A1286" s="2">
        <v>5</v>
      </c>
      <c r="B1286" s="2">
        <v>11</v>
      </c>
      <c r="C1286" s="2">
        <f>1+C1284</f>
        <v>44</v>
      </c>
      <c r="E1286" s="20" t="str">
        <f>CONCATENATE(A1286,".",B1286,".",C1286)</f>
        <v>5.11.44</v>
      </c>
      <c r="F1286" s="21" t="s">
        <v>3252</v>
      </c>
      <c r="G1286" s="22" t="s">
        <v>3253</v>
      </c>
      <c r="H1286" s="23" t="s">
        <v>3254</v>
      </c>
      <c r="I1286" s="24" t="s">
        <v>36</v>
      </c>
      <c r="J1286" s="32"/>
      <c r="K1286" s="10"/>
      <c r="L1286" s="32"/>
      <c r="M1286" s="10"/>
      <c r="N1286" s="33"/>
      <c r="O1286" s="11">
        <f>SUM(O1287)</f>
        <v>75</v>
      </c>
      <c r="P1286" s="185"/>
      <c r="Q1286" s="185"/>
    </row>
    <row r="1287" spans="1:17" hidden="1" outlineLevel="2">
      <c r="E1287" s="20"/>
      <c r="F1287" s="21"/>
      <c r="G1287" s="22"/>
      <c r="H1287" s="30"/>
      <c r="I1287" s="62"/>
      <c r="J1287" s="37"/>
      <c r="K1287" s="38"/>
      <c r="L1287" s="37"/>
      <c r="M1287" s="38"/>
      <c r="N1287" s="38">
        <v>75</v>
      </c>
      <c r="O1287" s="58">
        <f>ROUND(PRODUCT(J1287:N1287),2)</f>
        <v>75</v>
      </c>
      <c r="P1287" s="185"/>
      <c r="Q1287" s="185"/>
    </row>
    <row r="1288" spans="1:17" hidden="1" outlineLevel="1">
      <c r="A1288" s="2">
        <v>5</v>
      </c>
      <c r="B1288" s="2">
        <v>11</v>
      </c>
      <c r="C1288" s="2">
        <f>1+C1286</f>
        <v>45</v>
      </c>
      <c r="E1288" s="20" t="str">
        <f>CONCATENATE(A1288,".",B1288,".",C1288)</f>
        <v>5.11.45</v>
      </c>
      <c r="F1288" s="21" t="s">
        <v>3255</v>
      </c>
      <c r="G1288" s="22" t="s">
        <v>3256</v>
      </c>
      <c r="H1288" s="23" t="s">
        <v>3257</v>
      </c>
      <c r="I1288" s="24" t="s">
        <v>36</v>
      </c>
      <c r="J1288" s="32"/>
      <c r="K1288" s="10"/>
      <c r="L1288" s="32"/>
      <c r="M1288" s="10"/>
      <c r="N1288" s="33"/>
      <c r="O1288" s="11">
        <f>SUM(O1289)</f>
        <v>848</v>
      </c>
      <c r="P1288" s="185"/>
      <c r="Q1288" s="185"/>
    </row>
    <row r="1289" spans="1:17" hidden="1" outlineLevel="2">
      <c r="E1289" s="20"/>
      <c r="F1289" s="21"/>
      <c r="G1289" s="22"/>
      <c r="H1289" s="30"/>
      <c r="I1289" s="62"/>
      <c r="J1289" s="37"/>
      <c r="K1289" s="38"/>
      <c r="L1289" s="37"/>
      <c r="M1289" s="38"/>
      <c r="N1289" s="38">
        <f>12+836</f>
        <v>848</v>
      </c>
      <c r="O1289" s="58">
        <f>ROUND(PRODUCT(J1289:N1289),2)</f>
        <v>848</v>
      </c>
      <c r="P1289" s="185"/>
      <c r="Q1289" s="185"/>
    </row>
    <row r="1290" spans="1:17" collapsed="1">
      <c r="E1290" s="52" t="s">
        <v>467</v>
      </c>
      <c r="F1290" s="97" t="s">
        <v>467</v>
      </c>
      <c r="G1290" s="98"/>
      <c r="H1290" s="99" t="s">
        <v>700</v>
      </c>
      <c r="I1290" s="15"/>
      <c r="J1290" s="16"/>
      <c r="K1290" s="17"/>
      <c r="L1290" s="16"/>
      <c r="M1290" s="17"/>
      <c r="N1290" s="18"/>
      <c r="O1290" s="19"/>
      <c r="P1290" s="185"/>
      <c r="Q1290" s="185"/>
    </row>
    <row r="1291" spans="1:17">
      <c r="E1291" s="52" t="s">
        <v>3258</v>
      </c>
      <c r="F1291" s="53" t="s">
        <v>3258</v>
      </c>
      <c r="G1291" s="13"/>
      <c r="H1291" s="14" t="s">
        <v>702</v>
      </c>
      <c r="I1291" s="15"/>
      <c r="J1291" s="16"/>
      <c r="K1291" s="17"/>
      <c r="L1291" s="16"/>
      <c r="M1291" s="17"/>
      <c r="N1291" s="18"/>
      <c r="O1291" s="19"/>
      <c r="P1291" s="185"/>
      <c r="Q1291" s="185"/>
    </row>
    <row r="1292" spans="1:17" ht="30" hidden="1" outlineLevel="1">
      <c r="A1292" s="2">
        <v>5</v>
      </c>
      <c r="B1292" s="2">
        <v>12</v>
      </c>
      <c r="C1292" s="2">
        <v>1</v>
      </c>
      <c r="D1292" s="2" t="e">
        <f>1+#REF!</f>
        <v>#REF!</v>
      </c>
      <c r="E1292" s="20" t="e">
        <f>CONCATENATE(A1292,".",B1292,".",C1292,".",D1292)</f>
        <v>#REF!</v>
      </c>
      <c r="F1292" s="21" t="s">
        <v>3259</v>
      </c>
      <c r="G1292" s="22">
        <v>89355</v>
      </c>
      <c r="H1292" s="23" t="s">
        <v>705</v>
      </c>
      <c r="I1292" s="24" t="s">
        <v>144</v>
      </c>
      <c r="J1292" s="32"/>
      <c r="K1292" s="10"/>
      <c r="L1292" s="32"/>
      <c r="M1292" s="10"/>
      <c r="N1292" s="33"/>
      <c r="O1292" s="11">
        <f>SUM(O1293)</f>
        <v>4.62</v>
      </c>
      <c r="P1292" s="185"/>
      <c r="Q1292" s="185"/>
    </row>
    <row r="1293" spans="1:17" hidden="1" outlineLevel="2">
      <c r="E1293" s="20"/>
      <c r="F1293" s="21"/>
      <c r="G1293" s="22"/>
      <c r="H1293" s="23"/>
      <c r="I1293" s="24"/>
      <c r="J1293" s="32"/>
      <c r="K1293" s="64"/>
      <c r="L1293" s="32"/>
      <c r="M1293" s="10"/>
      <c r="N1293" s="33">
        <v>4.62</v>
      </c>
      <c r="O1293" s="58">
        <f>ROUND(PRODUCT(J1293:N1293),2)</f>
        <v>4.62</v>
      </c>
    </row>
    <row r="1294" spans="1:17" ht="30" hidden="1" outlineLevel="1">
      <c r="A1294" s="2">
        <v>5</v>
      </c>
      <c r="B1294" s="2">
        <v>12</v>
      </c>
      <c r="C1294" s="2">
        <v>1</v>
      </c>
      <c r="D1294" s="2" t="e">
        <f>1+D1292</f>
        <v>#REF!</v>
      </c>
      <c r="E1294" s="20" t="e">
        <f>CONCATENATE(A1294,".",B1294,".",C1294,".",D1294)</f>
        <v>#REF!</v>
      </c>
      <c r="F1294" s="21" t="s">
        <v>3260</v>
      </c>
      <c r="G1294" s="22">
        <v>89357</v>
      </c>
      <c r="H1294" s="23" t="s">
        <v>3261</v>
      </c>
      <c r="I1294" s="24" t="s">
        <v>144</v>
      </c>
      <c r="J1294" s="32"/>
      <c r="K1294" s="10"/>
      <c r="L1294" s="32"/>
      <c r="M1294" s="10"/>
      <c r="N1294" s="33"/>
      <c r="O1294" s="11">
        <f>SUM(O1295)</f>
        <v>116.48</v>
      </c>
      <c r="P1294" s="185"/>
      <c r="Q1294" s="185"/>
    </row>
    <row r="1295" spans="1:17" hidden="1" outlineLevel="2">
      <c r="E1295" s="20"/>
      <c r="F1295" s="21"/>
      <c r="G1295" s="22"/>
      <c r="H1295" s="23"/>
      <c r="I1295" s="24"/>
      <c r="J1295" s="32"/>
      <c r="K1295" s="64"/>
      <c r="L1295" s="32"/>
      <c r="M1295" s="10"/>
      <c r="N1295" s="33">
        <v>116.48</v>
      </c>
      <c r="O1295" s="58">
        <f>ROUND(PRODUCT(J1295:N1295),2)</f>
        <v>116.48</v>
      </c>
    </row>
    <row r="1296" spans="1:17" ht="30" hidden="1" outlineLevel="1">
      <c r="A1296" s="2">
        <v>5</v>
      </c>
      <c r="B1296" s="2">
        <v>12</v>
      </c>
      <c r="C1296" s="2">
        <v>1</v>
      </c>
      <c r="D1296" s="2" t="e">
        <f>1+D1294</f>
        <v>#REF!</v>
      </c>
      <c r="E1296" s="20" t="e">
        <f>CONCATENATE(A1296,".",B1296,".",C1296,".",D1296)</f>
        <v>#REF!</v>
      </c>
      <c r="F1296" s="21" t="s">
        <v>3262</v>
      </c>
      <c r="G1296" s="22">
        <v>89356</v>
      </c>
      <c r="H1296" s="23" t="s">
        <v>3263</v>
      </c>
      <c r="I1296" s="24" t="s">
        <v>144</v>
      </c>
      <c r="J1296" s="32"/>
      <c r="K1296" s="10"/>
      <c r="L1296" s="32"/>
      <c r="M1296" s="10"/>
      <c r="N1296" s="33"/>
      <c r="O1296" s="11">
        <f>SUM(O1297)</f>
        <v>236.11</v>
      </c>
      <c r="P1296" s="185"/>
      <c r="Q1296" s="185"/>
    </row>
    <row r="1297" spans="1:17" hidden="1" outlineLevel="2">
      <c r="E1297" s="20"/>
      <c r="F1297" s="21"/>
      <c r="G1297" s="22"/>
      <c r="H1297" s="23"/>
      <c r="I1297" s="24"/>
      <c r="J1297" s="32"/>
      <c r="K1297" s="64"/>
      <c r="L1297" s="32"/>
      <c r="M1297" s="10"/>
      <c r="N1297" s="33">
        <v>236.11</v>
      </c>
      <c r="O1297" s="58">
        <f>ROUND(PRODUCT(J1297:N1297),2)</f>
        <v>236.11</v>
      </c>
    </row>
    <row r="1298" spans="1:17" ht="30" hidden="1" outlineLevel="1">
      <c r="A1298" s="2">
        <v>5</v>
      </c>
      <c r="B1298" s="2">
        <v>12</v>
      </c>
      <c r="C1298" s="2">
        <v>1</v>
      </c>
      <c r="D1298" s="2" t="e">
        <f>1+#REF!</f>
        <v>#REF!</v>
      </c>
      <c r="E1298" s="20" t="e">
        <f>CONCATENATE(A1298,".",B1298,".",C1298,".",D1298)</f>
        <v>#REF!</v>
      </c>
      <c r="F1298" s="21" t="s">
        <v>3264</v>
      </c>
      <c r="G1298" s="22">
        <v>103948</v>
      </c>
      <c r="H1298" s="23" t="s">
        <v>714</v>
      </c>
      <c r="I1298" s="24" t="s">
        <v>36</v>
      </c>
      <c r="J1298" s="32"/>
      <c r="K1298" s="10"/>
      <c r="L1298" s="32"/>
      <c r="M1298" s="10"/>
      <c r="N1298" s="33"/>
      <c r="O1298" s="11">
        <f>SUM(O1299)</f>
        <v>11</v>
      </c>
      <c r="P1298" s="185"/>
      <c r="Q1298" s="185"/>
    </row>
    <row r="1299" spans="1:17" hidden="1" outlineLevel="2">
      <c r="E1299" s="20"/>
      <c r="F1299" s="21"/>
      <c r="G1299" s="22"/>
      <c r="H1299" s="23"/>
      <c r="I1299" s="24"/>
      <c r="J1299" s="32"/>
      <c r="K1299" s="64"/>
      <c r="L1299" s="32"/>
      <c r="M1299" s="10"/>
      <c r="N1299" s="33">
        <v>11</v>
      </c>
      <c r="O1299" s="58">
        <f>ROUND(PRODUCT(J1299:N1299),2)</f>
        <v>11</v>
      </c>
    </row>
    <row r="1300" spans="1:17" ht="30" hidden="1" outlineLevel="1">
      <c r="A1300" s="2">
        <v>5</v>
      </c>
      <c r="B1300" s="2">
        <v>12</v>
      </c>
      <c r="C1300" s="2">
        <v>1</v>
      </c>
      <c r="D1300" s="2" t="e">
        <f>1+D1298</f>
        <v>#REF!</v>
      </c>
      <c r="E1300" s="20" t="e">
        <f>CONCATENATE(A1300,".",B1300,".",C1300,".",D1300)</f>
        <v>#REF!</v>
      </c>
      <c r="F1300" s="21" t="s">
        <v>3265</v>
      </c>
      <c r="G1300" s="22">
        <v>103952</v>
      </c>
      <c r="H1300" s="23" t="s">
        <v>717</v>
      </c>
      <c r="I1300" s="24" t="s">
        <v>36</v>
      </c>
      <c r="J1300" s="32"/>
      <c r="K1300" s="10"/>
      <c r="L1300" s="32"/>
      <c r="M1300" s="10"/>
      <c r="N1300" s="33"/>
      <c r="O1300" s="11">
        <f>SUM(O1301)</f>
        <v>3</v>
      </c>
      <c r="P1300" s="185"/>
      <c r="Q1300" s="185"/>
    </row>
    <row r="1301" spans="1:17" hidden="1" outlineLevel="2">
      <c r="E1301" s="20"/>
      <c r="F1301" s="21"/>
      <c r="G1301" s="22"/>
      <c r="H1301" s="23"/>
      <c r="I1301" s="24"/>
      <c r="J1301" s="32"/>
      <c r="K1301" s="64"/>
      <c r="L1301" s="32"/>
      <c r="M1301" s="10"/>
      <c r="N1301" s="33">
        <v>3</v>
      </c>
      <c r="O1301" s="58">
        <f>ROUND(PRODUCT(J1301:N1301),2)</f>
        <v>3</v>
      </c>
    </row>
    <row r="1302" spans="1:17" ht="45" hidden="1" outlineLevel="1">
      <c r="A1302" s="2">
        <v>5</v>
      </c>
      <c r="B1302" s="2">
        <v>12</v>
      </c>
      <c r="C1302" s="2">
        <v>1</v>
      </c>
      <c r="D1302" s="2" t="e">
        <f>1+#REF!</f>
        <v>#REF!</v>
      </c>
      <c r="E1302" s="20" t="e">
        <f>CONCATENATE(A1302,".",B1302,".",C1302,".",D1302)</f>
        <v>#REF!</v>
      </c>
      <c r="F1302" s="21" t="s">
        <v>3266</v>
      </c>
      <c r="G1302" s="22">
        <v>90373</v>
      </c>
      <c r="H1302" s="23" t="s">
        <v>3267</v>
      </c>
      <c r="I1302" s="24" t="s">
        <v>36</v>
      </c>
      <c r="J1302" s="32"/>
      <c r="K1302" s="10"/>
      <c r="L1302" s="32"/>
      <c r="M1302" s="10"/>
      <c r="N1302" s="33"/>
      <c r="O1302" s="11">
        <f>SUM(O1303)</f>
        <v>3</v>
      </c>
      <c r="P1302" s="185"/>
      <c r="Q1302" s="185"/>
    </row>
    <row r="1303" spans="1:17" hidden="1" outlineLevel="2">
      <c r="E1303" s="20"/>
      <c r="F1303" s="21"/>
      <c r="G1303" s="22"/>
      <c r="H1303" s="23"/>
      <c r="I1303" s="24"/>
      <c r="J1303" s="32"/>
      <c r="K1303" s="64"/>
      <c r="L1303" s="32"/>
      <c r="M1303" s="10"/>
      <c r="N1303" s="33">
        <v>3</v>
      </c>
      <c r="O1303" s="58">
        <f>ROUND(PRODUCT(J1303:N1303),2)</f>
        <v>3</v>
      </c>
    </row>
    <row r="1304" spans="1:17" ht="45" hidden="1" outlineLevel="1">
      <c r="A1304" s="2">
        <v>5</v>
      </c>
      <c r="B1304" s="2">
        <v>12</v>
      </c>
      <c r="C1304" s="2">
        <v>1</v>
      </c>
      <c r="D1304" s="2" t="e">
        <f>1+D1302</f>
        <v>#REF!</v>
      </c>
      <c r="E1304" s="20" t="e">
        <f>CONCATENATE(A1304,".",B1304,".",C1304,".",D1304)</f>
        <v>#REF!</v>
      </c>
      <c r="F1304" s="21" t="s">
        <v>3268</v>
      </c>
      <c r="G1304" s="22">
        <v>89366</v>
      </c>
      <c r="H1304" s="23" t="s">
        <v>3269</v>
      </c>
      <c r="I1304" s="24" t="s">
        <v>36</v>
      </c>
      <c r="J1304" s="32"/>
      <c r="K1304" s="10"/>
      <c r="L1304" s="32"/>
      <c r="M1304" s="10"/>
      <c r="N1304" s="33"/>
      <c r="O1304" s="11">
        <f>SUM(O1305)</f>
        <v>61</v>
      </c>
      <c r="P1304" s="185"/>
      <c r="Q1304" s="185"/>
    </row>
    <row r="1305" spans="1:17" hidden="1" outlineLevel="2">
      <c r="E1305" s="20"/>
      <c r="F1305" s="21"/>
      <c r="G1305" s="22"/>
      <c r="H1305" s="23"/>
      <c r="I1305" s="24"/>
      <c r="J1305" s="32"/>
      <c r="K1305" s="64"/>
      <c r="L1305" s="32"/>
      <c r="M1305" s="10"/>
      <c r="N1305" s="33">
        <v>61</v>
      </c>
      <c r="O1305" s="58">
        <f>ROUND(PRODUCT(J1305:N1305),2)</f>
        <v>61</v>
      </c>
    </row>
    <row r="1306" spans="1:17" ht="30" hidden="1" outlineLevel="1">
      <c r="A1306" s="2">
        <v>5</v>
      </c>
      <c r="B1306" s="2">
        <v>12</v>
      </c>
      <c r="C1306" s="2">
        <v>1</v>
      </c>
      <c r="D1306" s="2" t="e">
        <f>1+#REF!</f>
        <v>#REF!</v>
      </c>
      <c r="E1306" s="20" t="e">
        <f>CONCATENATE(A1306,".",B1306,".",C1306,".",D1306)</f>
        <v>#REF!</v>
      </c>
      <c r="F1306" s="21" t="s">
        <v>3270</v>
      </c>
      <c r="G1306" s="22">
        <v>89367</v>
      </c>
      <c r="H1306" s="23" t="s">
        <v>726</v>
      </c>
      <c r="I1306" s="24" t="s">
        <v>36</v>
      </c>
      <c r="J1306" s="32"/>
      <c r="K1306" s="10"/>
      <c r="L1306" s="32"/>
      <c r="M1306" s="10"/>
      <c r="N1306" s="33"/>
      <c r="O1306" s="11">
        <f>SUM(O1307)</f>
        <v>31</v>
      </c>
      <c r="P1306" s="185"/>
      <c r="Q1306" s="185"/>
    </row>
    <row r="1307" spans="1:17" hidden="1" outlineLevel="2">
      <c r="E1307" s="20"/>
      <c r="F1307" s="21"/>
      <c r="G1307" s="22"/>
      <c r="H1307" s="23"/>
      <c r="I1307" s="24"/>
      <c r="J1307" s="32"/>
      <c r="K1307" s="64"/>
      <c r="L1307" s="32"/>
      <c r="M1307" s="10"/>
      <c r="N1307" s="33">
        <v>31</v>
      </c>
      <c r="O1307" s="58">
        <f>ROUND(PRODUCT(J1307:N1307),2)</f>
        <v>31</v>
      </c>
    </row>
    <row r="1308" spans="1:17" ht="30" hidden="1" outlineLevel="1">
      <c r="A1308" s="2">
        <v>5</v>
      </c>
      <c r="B1308" s="2">
        <v>12</v>
      </c>
      <c r="C1308" s="2">
        <v>1</v>
      </c>
      <c r="D1308" s="2" t="e">
        <f>1+D1306</f>
        <v>#REF!</v>
      </c>
      <c r="E1308" s="20" t="e">
        <f>CONCATENATE(A1308,".",B1308,".",C1308,".",D1308)</f>
        <v>#REF!</v>
      </c>
      <c r="F1308" s="21" t="s">
        <v>3271</v>
      </c>
      <c r="G1308" s="22">
        <v>89362</v>
      </c>
      <c r="H1308" s="23" t="s">
        <v>729</v>
      </c>
      <c r="I1308" s="24" t="s">
        <v>36</v>
      </c>
      <c r="J1308" s="32"/>
      <c r="K1308" s="10"/>
      <c r="L1308" s="32"/>
      <c r="M1308" s="10"/>
      <c r="N1308" s="33"/>
      <c r="O1308" s="11">
        <f>SUM(O1309)</f>
        <v>108</v>
      </c>
      <c r="P1308" s="185"/>
      <c r="Q1308" s="185"/>
    </row>
    <row r="1309" spans="1:17" hidden="1" outlineLevel="2">
      <c r="E1309" s="20"/>
      <c r="F1309" s="21"/>
      <c r="G1309" s="22"/>
      <c r="H1309" s="23"/>
      <c r="I1309" s="24"/>
      <c r="J1309" s="32"/>
      <c r="K1309" s="64"/>
      <c r="L1309" s="32"/>
      <c r="M1309" s="10"/>
      <c r="N1309" s="33">
        <v>108</v>
      </c>
      <c r="O1309" s="58">
        <f>ROUND(PRODUCT(J1309:N1309),2)</f>
        <v>108</v>
      </c>
    </row>
    <row r="1310" spans="1:17" ht="45" hidden="1" outlineLevel="1">
      <c r="A1310" s="2">
        <v>5</v>
      </c>
      <c r="B1310" s="2">
        <v>12</v>
      </c>
      <c r="C1310" s="2">
        <v>1</v>
      </c>
      <c r="D1310" s="2" t="e">
        <f>1+#REF!</f>
        <v>#REF!</v>
      </c>
      <c r="E1310" s="20" t="e">
        <f>CONCATENATE(A1310,".",B1310,".",C1310,".",D1310)</f>
        <v>#REF!</v>
      </c>
      <c r="F1310" s="21" t="s">
        <v>3272</v>
      </c>
      <c r="G1310" s="22">
        <v>89396</v>
      </c>
      <c r="H1310" s="23" t="s">
        <v>3273</v>
      </c>
      <c r="I1310" s="24" t="s">
        <v>36</v>
      </c>
      <c r="J1310" s="32"/>
      <c r="K1310" s="10"/>
      <c r="L1310" s="32"/>
      <c r="M1310" s="10"/>
      <c r="N1310" s="33"/>
      <c r="O1310" s="11">
        <f>SUM(O1311)</f>
        <v>10</v>
      </c>
      <c r="P1310" s="185"/>
      <c r="Q1310" s="185"/>
    </row>
    <row r="1311" spans="1:17" hidden="1" outlineLevel="2">
      <c r="E1311" s="20"/>
      <c r="F1311" s="21"/>
      <c r="G1311" s="22"/>
      <c r="H1311" s="23"/>
      <c r="I1311" s="24"/>
      <c r="J1311" s="32"/>
      <c r="K1311" s="64"/>
      <c r="L1311" s="32"/>
      <c r="M1311" s="10"/>
      <c r="N1311" s="33">
        <v>10</v>
      </c>
      <c r="O1311" s="58">
        <f>ROUND(PRODUCT(J1311:N1311),2)</f>
        <v>10</v>
      </c>
    </row>
    <row r="1312" spans="1:17" ht="45" hidden="1" outlineLevel="1">
      <c r="A1312" s="2">
        <v>5</v>
      </c>
      <c r="B1312" s="2">
        <v>12</v>
      </c>
      <c r="C1312" s="2">
        <v>1</v>
      </c>
      <c r="D1312" s="2" t="e">
        <f>1+D1310</f>
        <v>#REF!</v>
      </c>
      <c r="E1312" s="20" t="e">
        <f>CONCATENATE(A1312,".",B1312,".",C1312,".",D1312)</f>
        <v>#REF!</v>
      </c>
      <c r="F1312" s="21" t="s">
        <v>3274</v>
      </c>
      <c r="G1312" s="22">
        <v>90374</v>
      </c>
      <c r="H1312" s="23" t="s">
        <v>3275</v>
      </c>
      <c r="I1312" s="24" t="s">
        <v>36</v>
      </c>
      <c r="J1312" s="32"/>
      <c r="K1312" s="10"/>
      <c r="L1312" s="32"/>
      <c r="M1312" s="10"/>
      <c r="N1312" s="33"/>
      <c r="O1312" s="11">
        <f>SUM(O1313)</f>
        <v>29</v>
      </c>
      <c r="P1312" s="185"/>
      <c r="Q1312" s="185"/>
    </row>
    <row r="1313" spans="1:17" hidden="1" outlineLevel="2">
      <c r="E1313" s="20"/>
      <c r="F1313" s="21"/>
      <c r="G1313" s="22"/>
      <c r="H1313" s="23"/>
      <c r="I1313" s="24"/>
      <c r="J1313" s="32"/>
      <c r="K1313" s="64"/>
      <c r="L1313" s="32"/>
      <c r="M1313" s="10"/>
      <c r="N1313" s="33">
        <v>29</v>
      </c>
      <c r="O1313" s="58">
        <f>ROUND(PRODUCT(J1313:N1313),2)</f>
        <v>29</v>
      </c>
    </row>
    <row r="1314" spans="1:17" ht="30" hidden="1" outlineLevel="1">
      <c r="A1314" s="2">
        <v>5</v>
      </c>
      <c r="B1314" s="2">
        <v>12</v>
      </c>
      <c r="C1314" s="2">
        <v>1</v>
      </c>
      <c r="D1314" s="2" t="e">
        <f>1+#REF!</f>
        <v>#REF!</v>
      </c>
      <c r="E1314" s="20" t="e">
        <f>CONCATENATE(A1314,".",B1314,".",C1314,".",D1314)</f>
        <v>#REF!</v>
      </c>
      <c r="F1314" s="21" t="s">
        <v>3276</v>
      </c>
      <c r="G1314" s="22">
        <v>89400</v>
      </c>
      <c r="H1314" s="23" t="s">
        <v>738</v>
      </c>
      <c r="I1314" s="24" t="s">
        <v>36</v>
      </c>
      <c r="J1314" s="32"/>
      <c r="K1314" s="10"/>
      <c r="L1314" s="32"/>
      <c r="M1314" s="10"/>
      <c r="N1314" s="33"/>
      <c r="O1314" s="11">
        <f>SUM(O1315)</f>
        <v>7</v>
      </c>
      <c r="P1314" s="185"/>
      <c r="Q1314" s="185"/>
    </row>
    <row r="1315" spans="1:17" hidden="1" outlineLevel="2">
      <c r="E1315" s="20"/>
      <c r="F1315" s="21"/>
      <c r="G1315" s="22"/>
      <c r="H1315" s="23"/>
      <c r="I1315" s="24"/>
      <c r="J1315" s="32"/>
      <c r="K1315" s="64"/>
      <c r="L1315" s="32"/>
      <c r="M1315" s="10"/>
      <c r="N1315" s="33">
        <v>7</v>
      </c>
      <c r="O1315" s="58">
        <f>ROUND(PRODUCT(J1315:N1315),2)</f>
        <v>7</v>
      </c>
    </row>
    <row r="1316" spans="1:17" ht="30" hidden="1" outlineLevel="1">
      <c r="A1316" s="2">
        <v>5</v>
      </c>
      <c r="B1316" s="2">
        <v>12</v>
      </c>
      <c r="C1316" s="2">
        <v>1</v>
      </c>
      <c r="D1316" s="2" t="e">
        <f>1+D1314</f>
        <v>#REF!</v>
      </c>
      <c r="E1316" s="20" t="e">
        <f>CONCATENATE(A1316,".",B1316,".",C1316,".",D1316)</f>
        <v>#REF!</v>
      </c>
      <c r="F1316" s="21" t="s">
        <v>3277</v>
      </c>
      <c r="G1316" s="22">
        <v>89395</v>
      </c>
      <c r="H1316" s="23" t="s">
        <v>741</v>
      </c>
      <c r="I1316" s="24" t="s">
        <v>36</v>
      </c>
      <c r="J1316" s="32"/>
      <c r="K1316" s="10"/>
      <c r="L1316" s="32"/>
      <c r="M1316" s="10"/>
      <c r="N1316" s="33"/>
      <c r="O1316" s="11">
        <f>SUM(O1317)</f>
        <v>46</v>
      </c>
      <c r="P1316" s="185"/>
      <c r="Q1316" s="185"/>
    </row>
    <row r="1317" spans="1:17" hidden="1" outlineLevel="2">
      <c r="E1317" s="20"/>
      <c r="F1317" s="21"/>
      <c r="G1317" s="22"/>
      <c r="H1317" s="23"/>
      <c r="I1317" s="24"/>
      <c r="J1317" s="32"/>
      <c r="K1317" s="64"/>
      <c r="L1317" s="32"/>
      <c r="M1317" s="10"/>
      <c r="N1317" s="33">
        <v>46</v>
      </c>
      <c r="O1317" s="58">
        <f>ROUND(PRODUCT(J1317:N1317),2)</f>
        <v>46</v>
      </c>
    </row>
    <row r="1318" spans="1:17" ht="30" hidden="1" outlineLevel="1">
      <c r="A1318" s="2">
        <v>5</v>
      </c>
      <c r="B1318" s="2">
        <v>12</v>
      </c>
      <c r="C1318" s="2">
        <v>1</v>
      </c>
      <c r="D1318" s="2" t="e">
        <f>1+D1316</f>
        <v>#REF!</v>
      </c>
      <c r="E1318" s="20" t="e">
        <f>CONCATENATE(A1318,".",B1318,".",C1318,".",D1318)</f>
        <v>#REF!</v>
      </c>
      <c r="F1318" s="21" t="s">
        <v>3278</v>
      </c>
      <c r="G1318" s="22">
        <v>89620</v>
      </c>
      <c r="H1318" s="23" t="s">
        <v>744</v>
      </c>
      <c r="I1318" s="24" t="s">
        <v>36</v>
      </c>
      <c r="J1318" s="32"/>
      <c r="K1318" s="10"/>
      <c r="L1318" s="32"/>
      <c r="M1318" s="10"/>
      <c r="N1318" s="33"/>
      <c r="O1318" s="11">
        <f>SUM(O1319)</f>
        <v>3</v>
      </c>
      <c r="P1318" s="185"/>
      <c r="Q1318" s="185"/>
    </row>
    <row r="1319" spans="1:17" hidden="1" outlineLevel="2">
      <c r="E1319" s="20"/>
      <c r="F1319" s="21"/>
      <c r="G1319" s="22"/>
      <c r="H1319" s="23"/>
      <c r="I1319" s="24"/>
      <c r="J1319" s="32"/>
      <c r="K1319" s="64"/>
      <c r="L1319" s="32"/>
      <c r="M1319" s="10"/>
      <c r="N1319" s="33">
        <v>3</v>
      </c>
      <c r="O1319" s="58">
        <f>ROUND(PRODUCT(J1319:N1319),2)</f>
        <v>3</v>
      </c>
    </row>
    <row r="1320" spans="1:17" ht="30" hidden="1" outlineLevel="1">
      <c r="A1320" s="2">
        <v>5</v>
      </c>
      <c r="B1320" s="2">
        <v>12</v>
      </c>
      <c r="C1320" s="2">
        <v>1</v>
      </c>
      <c r="D1320" s="2" t="e">
        <f>1+#REF!</f>
        <v>#REF!</v>
      </c>
      <c r="E1320" s="20" t="e">
        <f>CONCATENATE(A1320,".",B1320,".",C1320,".",D1320)</f>
        <v>#REF!</v>
      </c>
      <c r="F1320" s="21" t="s">
        <v>3279</v>
      </c>
      <c r="G1320" s="22">
        <v>89349</v>
      </c>
      <c r="H1320" s="23" t="s">
        <v>747</v>
      </c>
      <c r="I1320" s="24" t="s">
        <v>36</v>
      </c>
      <c r="J1320" s="32"/>
      <c r="K1320" s="10"/>
      <c r="L1320" s="32"/>
      <c r="M1320" s="10"/>
      <c r="N1320" s="33"/>
      <c r="O1320" s="11">
        <f>SUM(O1321)</f>
        <v>3</v>
      </c>
      <c r="P1320" s="185"/>
      <c r="Q1320" s="185"/>
    </row>
    <row r="1321" spans="1:17" hidden="1" outlineLevel="2">
      <c r="E1321" s="20"/>
      <c r="F1321" s="21"/>
      <c r="G1321" s="22"/>
      <c r="H1321" s="30"/>
      <c r="I1321" s="62"/>
      <c r="J1321" s="37"/>
      <c r="K1321" s="38"/>
      <c r="L1321" s="37"/>
      <c r="M1321" s="38"/>
      <c r="N1321" s="38">
        <v>3</v>
      </c>
      <c r="O1321" s="58">
        <f>ROUND(PRODUCT(J1321:N1321),2)</f>
        <v>3</v>
      </c>
      <c r="P1321" s="185"/>
      <c r="Q1321" s="185"/>
    </row>
    <row r="1322" spans="1:17" ht="30" hidden="1" outlineLevel="1">
      <c r="A1322" s="2">
        <v>5</v>
      </c>
      <c r="B1322" s="2">
        <v>12</v>
      </c>
      <c r="C1322" s="2">
        <v>1</v>
      </c>
      <c r="D1322" s="2" t="e">
        <f>1+D1320</f>
        <v>#REF!</v>
      </c>
      <c r="E1322" s="20" t="e">
        <f>CONCATENATE(A1322,".",B1322,".",C1322,".",D1322)</f>
        <v>#REF!</v>
      </c>
      <c r="F1322" s="21" t="s">
        <v>3280</v>
      </c>
      <c r="G1322" s="22" t="s">
        <v>749</v>
      </c>
      <c r="H1322" s="23" t="s">
        <v>750</v>
      </c>
      <c r="I1322" s="24" t="s">
        <v>36</v>
      </c>
      <c r="J1322" s="32"/>
      <c r="K1322" s="10"/>
      <c r="L1322" s="32"/>
      <c r="M1322" s="10"/>
      <c r="N1322" s="33"/>
      <c r="O1322" s="11">
        <f>SUM(O1323)</f>
        <v>20</v>
      </c>
      <c r="P1322" s="185"/>
      <c r="Q1322" s="185"/>
    </row>
    <row r="1323" spans="1:17" hidden="1" outlineLevel="2">
      <c r="E1323" s="20"/>
      <c r="F1323" s="21"/>
      <c r="G1323" s="22"/>
      <c r="H1323" s="30"/>
      <c r="I1323" s="62"/>
      <c r="J1323" s="37"/>
      <c r="K1323" s="38"/>
      <c r="L1323" s="37"/>
      <c r="M1323" s="38"/>
      <c r="N1323" s="38">
        <v>20</v>
      </c>
      <c r="O1323" s="58">
        <f>ROUND(PRODUCT(J1323:N1323),2)</f>
        <v>20</v>
      </c>
      <c r="P1323" s="185"/>
      <c r="Q1323" s="185"/>
    </row>
    <row r="1324" spans="1:17" collapsed="1">
      <c r="E1324" s="52" t="s">
        <v>472</v>
      </c>
      <c r="F1324" s="53" t="s">
        <v>472</v>
      </c>
      <c r="G1324" s="13"/>
      <c r="H1324" s="14" t="s">
        <v>752</v>
      </c>
      <c r="I1324" s="15"/>
      <c r="J1324" s="16"/>
      <c r="K1324" s="17"/>
      <c r="L1324" s="16"/>
      <c r="M1324" s="17"/>
      <c r="N1324" s="18"/>
      <c r="O1324" s="19"/>
      <c r="P1324" s="185"/>
      <c r="Q1324" s="185"/>
    </row>
    <row r="1325" spans="1:17" ht="30" hidden="1" outlineLevel="1">
      <c r="A1325" s="2">
        <v>5</v>
      </c>
      <c r="B1325" s="2">
        <v>12</v>
      </c>
      <c r="C1325" s="2">
        <v>2</v>
      </c>
      <c r="D1325" s="2">
        <v>1</v>
      </c>
      <c r="E1325" s="20" t="str">
        <f>CONCATENATE(A1325,".",B1325,".",C1325,".",D1325)</f>
        <v>5.12.2.1</v>
      </c>
      <c r="F1325" s="21" t="s">
        <v>3281</v>
      </c>
      <c r="G1325" s="22">
        <v>89711</v>
      </c>
      <c r="H1325" s="23" t="s">
        <v>755</v>
      </c>
      <c r="I1325" s="24" t="s">
        <v>144</v>
      </c>
      <c r="J1325" s="32"/>
      <c r="K1325" s="10"/>
      <c r="L1325" s="32"/>
      <c r="M1325" s="10"/>
      <c r="N1325" s="33"/>
      <c r="O1325" s="11">
        <f>SUM(O1326)</f>
        <v>464.52</v>
      </c>
      <c r="P1325" s="185"/>
      <c r="Q1325" s="185"/>
    </row>
    <row r="1326" spans="1:17" hidden="1" outlineLevel="1">
      <c r="E1326" s="20"/>
      <c r="F1326" s="21"/>
      <c r="G1326" s="22"/>
      <c r="H1326" s="30"/>
      <c r="I1326" s="62"/>
      <c r="J1326" s="37"/>
      <c r="K1326" s="38"/>
      <c r="L1326" s="37"/>
      <c r="M1326" s="38"/>
      <c r="N1326" s="38">
        <v>464.52</v>
      </c>
      <c r="O1326" s="58">
        <f>ROUND(PRODUCT(J1326:N1326),2)</f>
        <v>464.52</v>
      </c>
      <c r="P1326" s="185"/>
      <c r="Q1326" s="185"/>
    </row>
    <row r="1327" spans="1:17" ht="30" hidden="1" outlineLevel="1">
      <c r="A1327" s="2">
        <v>5</v>
      </c>
      <c r="B1327" s="2">
        <v>12</v>
      </c>
      <c r="C1327" s="2">
        <v>2</v>
      </c>
      <c r="D1327" s="2">
        <f>1+D1325</f>
        <v>2</v>
      </c>
      <c r="E1327" s="20" t="str">
        <f>CONCATENATE(A1327,".",B1327,".",C1327,".",D1327)</f>
        <v>5.12.2.2</v>
      </c>
      <c r="F1327" s="21" t="s">
        <v>3282</v>
      </c>
      <c r="G1327" s="22">
        <v>89714</v>
      </c>
      <c r="H1327" s="23" t="s">
        <v>758</v>
      </c>
      <c r="I1327" s="24" t="s">
        <v>144</v>
      </c>
      <c r="J1327" s="32"/>
      <c r="K1327" s="10"/>
      <c r="L1327" s="32"/>
      <c r="M1327" s="10"/>
      <c r="N1327" s="33"/>
      <c r="O1327" s="11">
        <f>SUM(O1328)</f>
        <v>164.14</v>
      </c>
    </row>
    <row r="1328" spans="1:17" hidden="1" outlineLevel="1">
      <c r="E1328" s="20"/>
      <c r="F1328" s="21"/>
      <c r="G1328" s="22"/>
      <c r="H1328" s="23"/>
      <c r="I1328" s="24"/>
      <c r="J1328" s="32"/>
      <c r="K1328" s="64"/>
      <c r="L1328" s="32"/>
      <c r="M1328" s="10"/>
      <c r="N1328" s="33">
        <v>164.14</v>
      </c>
      <c r="O1328" s="58">
        <f>ROUND(PRODUCT(J1328:N1328),2)</f>
        <v>164.14</v>
      </c>
    </row>
    <row r="1329" spans="1:15" ht="30" hidden="1" outlineLevel="1">
      <c r="A1329" s="2">
        <v>5</v>
      </c>
      <c r="B1329" s="2">
        <v>12</v>
      </c>
      <c r="C1329" s="2">
        <v>2</v>
      </c>
      <c r="D1329" s="2">
        <f>1+D1327</f>
        <v>3</v>
      </c>
      <c r="E1329" s="20" t="str">
        <f>CONCATENATE(A1329,".",B1329,".",C1329,".",D1329)</f>
        <v>5.12.2.3</v>
      </c>
      <c r="F1329" s="21" t="s">
        <v>3283</v>
      </c>
      <c r="G1329" s="22">
        <v>89713</v>
      </c>
      <c r="H1329" s="23" t="s">
        <v>761</v>
      </c>
      <c r="I1329" s="24" t="s">
        <v>144</v>
      </c>
      <c r="J1329" s="32"/>
      <c r="K1329" s="10"/>
      <c r="L1329" s="32"/>
      <c r="M1329" s="10"/>
      <c r="N1329" s="33"/>
      <c r="O1329" s="11">
        <f>SUM(O1330)</f>
        <v>3.93</v>
      </c>
    </row>
    <row r="1330" spans="1:15" hidden="1" outlineLevel="1">
      <c r="E1330" s="20"/>
      <c r="F1330" s="21"/>
      <c r="G1330" s="22"/>
      <c r="H1330" s="23"/>
      <c r="I1330" s="24"/>
      <c r="J1330" s="32"/>
      <c r="K1330" s="64"/>
      <c r="L1330" s="32"/>
      <c r="M1330" s="10"/>
      <c r="N1330" s="33">
        <v>3.93</v>
      </c>
      <c r="O1330" s="58">
        <f>ROUND(PRODUCT(J1330:N1330),2)</f>
        <v>3.93</v>
      </c>
    </row>
    <row r="1331" spans="1:15" ht="30" hidden="1" outlineLevel="1">
      <c r="A1331" s="2">
        <v>5</v>
      </c>
      <c r="B1331" s="2">
        <v>12</v>
      </c>
      <c r="C1331" s="2">
        <v>2</v>
      </c>
      <c r="D1331" s="2">
        <f>1+D1329</f>
        <v>4</v>
      </c>
      <c r="E1331" s="20" t="str">
        <f>CONCATENATE(A1331,".",B1331,".",C1331,".",D1331)</f>
        <v>5.12.2.4</v>
      </c>
      <c r="F1331" s="21" t="s">
        <v>3284</v>
      </c>
      <c r="G1331" s="22">
        <v>89712</v>
      </c>
      <c r="H1331" s="23" t="s">
        <v>764</v>
      </c>
      <c r="I1331" s="24" t="s">
        <v>144</v>
      </c>
      <c r="J1331" s="32"/>
      <c r="K1331" s="10"/>
      <c r="L1331" s="32"/>
      <c r="M1331" s="10"/>
      <c r="N1331" s="33"/>
      <c r="O1331" s="11">
        <f>SUM(O1332)</f>
        <v>196.3</v>
      </c>
    </row>
    <row r="1332" spans="1:15" hidden="1" outlineLevel="1">
      <c r="E1332" s="20"/>
      <c r="F1332" s="21"/>
      <c r="G1332" s="22"/>
      <c r="H1332" s="23"/>
      <c r="I1332" s="24"/>
      <c r="J1332" s="32"/>
      <c r="K1332" s="64"/>
      <c r="L1332" s="32"/>
      <c r="M1332" s="10"/>
      <c r="N1332" s="33">
        <v>196.3</v>
      </c>
      <c r="O1332" s="58">
        <f>ROUND(PRODUCT(J1332:N1332),2)</f>
        <v>196.3</v>
      </c>
    </row>
    <row r="1333" spans="1:15" ht="30" hidden="1" outlineLevel="1">
      <c r="A1333" s="2">
        <v>5</v>
      </c>
      <c r="B1333" s="2">
        <v>12</v>
      </c>
      <c r="C1333" s="2">
        <v>2</v>
      </c>
      <c r="D1333" s="2">
        <f>1+D1331</f>
        <v>5</v>
      </c>
      <c r="E1333" s="20" t="str">
        <f>CONCATENATE(A1333,".",B1333,".",C1333,".",D1333)</f>
        <v>5.12.2.5</v>
      </c>
      <c r="F1333" s="21" t="s">
        <v>3285</v>
      </c>
      <c r="G1333" s="22">
        <v>89535</v>
      </c>
      <c r="H1333" s="23" t="s">
        <v>767</v>
      </c>
      <c r="I1333" s="24" t="s">
        <v>36</v>
      </c>
      <c r="J1333" s="32"/>
      <c r="K1333" s="10"/>
      <c r="L1333" s="32"/>
      <c r="M1333" s="10"/>
      <c r="N1333" s="33"/>
      <c r="O1333" s="11">
        <f>SUM(O1334)</f>
        <v>3</v>
      </c>
    </row>
    <row r="1334" spans="1:15" hidden="1" outlineLevel="1">
      <c r="E1334" s="20"/>
      <c r="F1334" s="21"/>
      <c r="G1334" s="22"/>
      <c r="H1334" s="23"/>
      <c r="I1334" s="24"/>
      <c r="J1334" s="32"/>
      <c r="K1334" s="64"/>
      <c r="L1334" s="32"/>
      <c r="M1334" s="10"/>
      <c r="N1334" s="33">
        <v>3</v>
      </c>
      <c r="O1334" s="58">
        <f>ROUND(PRODUCT(J1334:N1334),2)</f>
        <v>3</v>
      </c>
    </row>
    <row r="1335" spans="1:15" ht="45" hidden="1" outlineLevel="1">
      <c r="A1335" s="2">
        <v>5</v>
      </c>
      <c r="B1335" s="2">
        <v>12</v>
      </c>
      <c r="C1335" s="2">
        <v>2</v>
      </c>
      <c r="D1335" s="2" t="e">
        <f>1+#REF!</f>
        <v>#REF!</v>
      </c>
      <c r="E1335" s="20" t="e">
        <f>CONCATENATE(A1335,".",B1335,".",C1335,".",D1335)</f>
        <v>#REF!</v>
      </c>
      <c r="F1335" s="21" t="s">
        <v>3286</v>
      </c>
      <c r="G1335" s="22">
        <v>89726</v>
      </c>
      <c r="H1335" s="23" t="s">
        <v>770</v>
      </c>
      <c r="I1335" s="24" t="s">
        <v>36</v>
      </c>
      <c r="J1335" s="32"/>
      <c r="K1335" s="10"/>
      <c r="L1335" s="32"/>
      <c r="M1335" s="10"/>
      <c r="N1335" s="33"/>
      <c r="O1335" s="11">
        <f>SUM(O1336)</f>
        <v>80</v>
      </c>
    </row>
    <row r="1336" spans="1:15" hidden="1" outlineLevel="1">
      <c r="E1336" s="20"/>
      <c r="F1336" s="21"/>
      <c r="G1336" s="22"/>
      <c r="H1336" s="23"/>
      <c r="I1336" s="24"/>
      <c r="J1336" s="32"/>
      <c r="K1336" s="64"/>
      <c r="L1336" s="32"/>
      <c r="M1336" s="10"/>
      <c r="N1336" s="33">
        <v>80</v>
      </c>
      <c r="O1336" s="58">
        <f>ROUND(PRODUCT(J1336:N1336),2)</f>
        <v>80</v>
      </c>
    </row>
    <row r="1337" spans="1:15" ht="45" hidden="1" outlineLevel="1">
      <c r="A1337" s="2">
        <v>5</v>
      </c>
      <c r="B1337" s="2">
        <v>12</v>
      </c>
      <c r="C1337" s="2">
        <v>2</v>
      </c>
      <c r="D1337" s="2" t="e">
        <f>1+D1335</f>
        <v>#REF!</v>
      </c>
      <c r="E1337" s="20" t="e">
        <f>CONCATENATE(A1337,".",B1337,".",C1337,".",D1337)</f>
        <v>#REF!</v>
      </c>
      <c r="F1337" s="21" t="s">
        <v>3287</v>
      </c>
      <c r="G1337" s="22">
        <v>89746</v>
      </c>
      <c r="H1337" s="23" t="s">
        <v>773</v>
      </c>
      <c r="I1337" s="24" t="s">
        <v>36</v>
      </c>
      <c r="J1337" s="32"/>
      <c r="K1337" s="10"/>
      <c r="L1337" s="32"/>
      <c r="M1337" s="10"/>
      <c r="N1337" s="33"/>
      <c r="O1337" s="11">
        <f>SUM(O1338)</f>
        <v>14</v>
      </c>
    </row>
    <row r="1338" spans="1:15" hidden="1" outlineLevel="1">
      <c r="E1338" s="20"/>
      <c r="F1338" s="21"/>
      <c r="G1338" s="22"/>
      <c r="H1338" s="23"/>
      <c r="I1338" s="24"/>
      <c r="J1338" s="32"/>
      <c r="K1338" s="64"/>
      <c r="L1338" s="32"/>
      <c r="M1338" s="10"/>
      <c r="N1338" s="33">
        <v>14</v>
      </c>
      <c r="O1338" s="58">
        <f>ROUND(PRODUCT(J1338:N1338),2)</f>
        <v>14</v>
      </c>
    </row>
    <row r="1339" spans="1:15" ht="45" hidden="1" outlineLevel="1">
      <c r="A1339" s="2">
        <v>5</v>
      </c>
      <c r="B1339" s="2">
        <v>12</v>
      </c>
      <c r="C1339" s="2">
        <v>2</v>
      </c>
      <c r="D1339" s="2" t="e">
        <f>1+D1337</f>
        <v>#REF!</v>
      </c>
      <c r="E1339" s="20" t="e">
        <f>CONCATENATE(A1339,".",B1339,".",C1339,".",D1339)</f>
        <v>#REF!</v>
      </c>
      <c r="F1339" s="21" t="s">
        <v>3288</v>
      </c>
      <c r="G1339" s="22">
        <v>89802</v>
      </c>
      <c r="H1339" s="23" t="s">
        <v>776</v>
      </c>
      <c r="I1339" s="24" t="s">
        <v>36</v>
      </c>
      <c r="J1339" s="32"/>
      <c r="K1339" s="10"/>
      <c r="L1339" s="32"/>
      <c r="M1339" s="10"/>
      <c r="N1339" s="33"/>
      <c r="O1339" s="11">
        <f>SUM(O1340)</f>
        <v>16</v>
      </c>
    </row>
    <row r="1340" spans="1:15" hidden="1" outlineLevel="1">
      <c r="E1340" s="20"/>
      <c r="F1340" s="21"/>
      <c r="G1340" s="22"/>
      <c r="H1340" s="23"/>
      <c r="I1340" s="24"/>
      <c r="J1340" s="32"/>
      <c r="K1340" s="64"/>
      <c r="L1340" s="32"/>
      <c r="M1340" s="10"/>
      <c r="N1340" s="33">
        <v>16</v>
      </c>
      <c r="O1340" s="58">
        <f>ROUND(PRODUCT(J1340:N1340),2)</f>
        <v>16</v>
      </c>
    </row>
    <row r="1341" spans="1:15" ht="45" hidden="1" outlineLevel="1">
      <c r="A1341" s="2">
        <v>5</v>
      </c>
      <c r="B1341" s="2">
        <v>12</v>
      </c>
      <c r="C1341" s="2">
        <v>2</v>
      </c>
      <c r="D1341" s="2" t="e">
        <f>1+D1339</f>
        <v>#REF!</v>
      </c>
      <c r="E1341" s="20" t="e">
        <f>CONCATENATE(A1341,".",B1341,".",C1341,".",D1341)</f>
        <v>#REF!</v>
      </c>
      <c r="F1341" s="21" t="s">
        <v>3289</v>
      </c>
      <c r="G1341" s="22">
        <v>89739</v>
      </c>
      <c r="H1341" s="23" t="s">
        <v>779</v>
      </c>
      <c r="I1341" s="24" t="s">
        <v>36</v>
      </c>
      <c r="J1341" s="32"/>
      <c r="K1341" s="10"/>
      <c r="L1341" s="32"/>
      <c r="M1341" s="10"/>
      <c r="N1341" s="33"/>
      <c r="O1341" s="11">
        <f>SUM(O1342)</f>
        <v>2</v>
      </c>
    </row>
    <row r="1342" spans="1:15" hidden="1" outlineLevel="1">
      <c r="E1342" s="20"/>
      <c r="F1342" s="21"/>
      <c r="G1342" s="22"/>
      <c r="H1342" s="23"/>
      <c r="I1342" s="24"/>
      <c r="J1342" s="41"/>
      <c r="K1342" s="64"/>
      <c r="L1342" s="32"/>
      <c r="M1342" s="10"/>
      <c r="N1342" s="33">
        <v>2</v>
      </c>
      <c r="O1342" s="58">
        <f>ROUND(PRODUCT(J1342:N1342),2)</f>
        <v>2</v>
      </c>
    </row>
    <row r="1343" spans="1:15" ht="45" hidden="1" outlineLevel="1">
      <c r="A1343" s="2">
        <v>5</v>
      </c>
      <c r="B1343" s="2">
        <v>12</v>
      </c>
      <c r="C1343" s="2">
        <v>2</v>
      </c>
      <c r="D1343" s="2" t="e">
        <f>1+D1341</f>
        <v>#REF!</v>
      </c>
      <c r="E1343" s="20" t="e">
        <f>CONCATENATE(A1343,".",B1343,".",C1343,".",D1343)</f>
        <v>#REF!</v>
      </c>
      <c r="F1343" s="21" t="s">
        <v>3290</v>
      </c>
      <c r="G1343" s="22">
        <v>89731</v>
      </c>
      <c r="H1343" s="23" t="s">
        <v>782</v>
      </c>
      <c r="I1343" s="24" t="s">
        <v>36</v>
      </c>
      <c r="J1343" s="32"/>
      <c r="K1343" s="10"/>
      <c r="L1343" s="32"/>
      <c r="M1343" s="10"/>
      <c r="N1343" s="33"/>
      <c r="O1343" s="11">
        <f>SUM(O1344)</f>
        <v>46</v>
      </c>
    </row>
    <row r="1344" spans="1:15" hidden="1" outlineLevel="1">
      <c r="E1344" s="20"/>
      <c r="F1344" s="21"/>
      <c r="G1344" s="22"/>
      <c r="H1344" s="23"/>
      <c r="I1344" s="24"/>
      <c r="J1344" s="32"/>
      <c r="K1344" s="64"/>
      <c r="L1344" s="32"/>
      <c r="M1344" s="10"/>
      <c r="N1344" s="33">
        <v>46</v>
      </c>
      <c r="O1344" s="58">
        <f>ROUND(PRODUCT(J1344:N1344),2)</f>
        <v>46</v>
      </c>
    </row>
    <row r="1345" spans="1:15" ht="45" hidden="1" outlineLevel="1">
      <c r="A1345" s="2">
        <v>5</v>
      </c>
      <c r="B1345" s="2">
        <v>12</v>
      </c>
      <c r="C1345" s="2">
        <v>2</v>
      </c>
      <c r="D1345" s="2" t="e">
        <f>1+D1343</f>
        <v>#REF!</v>
      </c>
      <c r="E1345" s="20" t="e">
        <f>CONCATENATE(A1345,".",B1345,".",C1345,".",D1345)</f>
        <v>#REF!</v>
      </c>
      <c r="F1345" s="21" t="s">
        <v>3291</v>
      </c>
      <c r="G1345" s="22">
        <v>89783</v>
      </c>
      <c r="H1345" s="23" t="s">
        <v>785</v>
      </c>
      <c r="I1345" s="24" t="s">
        <v>36</v>
      </c>
      <c r="J1345" s="32"/>
      <c r="K1345" s="10"/>
      <c r="L1345" s="32"/>
      <c r="M1345" s="10"/>
      <c r="N1345" s="33"/>
      <c r="O1345" s="11">
        <f>SUM(O1346)</f>
        <v>17</v>
      </c>
    </row>
    <row r="1346" spans="1:15" hidden="1" outlineLevel="1">
      <c r="E1346" s="20"/>
      <c r="F1346" s="21"/>
      <c r="G1346" s="22"/>
      <c r="H1346" s="23"/>
      <c r="I1346" s="24"/>
      <c r="J1346" s="32"/>
      <c r="K1346" s="64"/>
      <c r="L1346" s="32"/>
      <c r="M1346" s="10"/>
      <c r="N1346" s="33">
        <v>17</v>
      </c>
      <c r="O1346" s="58">
        <f>ROUND(PRODUCT(J1346:N1346),2)</f>
        <v>17</v>
      </c>
    </row>
    <row r="1347" spans="1:15" ht="45" hidden="1" outlineLevel="1">
      <c r="A1347" s="2">
        <v>5</v>
      </c>
      <c r="B1347" s="2">
        <v>12</v>
      </c>
      <c r="C1347" s="2">
        <v>2</v>
      </c>
      <c r="D1347" s="2" t="e">
        <f>1+D1345</f>
        <v>#REF!</v>
      </c>
      <c r="E1347" s="20" t="e">
        <f>CONCATENATE(A1347,".",B1347,".",C1347,".",D1347)</f>
        <v>#REF!</v>
      </c>
      <c r="F1347" s="21" t="s">
        <v>3292</v>
      </c>
      <c r="G1347" s="22">
        <v>89785</v>
      </c>
      <c r="H1347" s="23" t="s">
        <v>788</v>
      </c>
      <c r="I1347" s="24" t="s">
        <v>36</v>
      </c>
      <c r="J1347" s="32"/>
      <c r="K1347" s="10"/>
      <c r="L1347" s="32"/>
      <c r="M1347" s="10"/>
      <c r="N1347" s="33"/>
      <c r="O1347" s="11">
        <f>SUM(O1348)</f>
        <v>2</v>
      </c>
    </row>
    <row r="1348" spans="1:15" hidden="1" outlineLevel="1">
      <c r="E1348" s="20"/>
      <c r="F1348" s="21"/>
      <c r="G1348" s="22"/>
      <c r="H1348" s="23"/>
      <c r="I1348" s="24"/>
      <c r="J1348" s="32"/>
      <c r="K1348" s="64"/>
      <c r="L1348" s="32"/>
      <c r="M1348" s="10"/>
      <c r="N1348" s="33">
        <v>2</v>
      </c>
      <c r="O1348" s="58">
        <f>ROUND(PRODUCT(J1348:N1348),2)</f>
        <v>2</v>
      </c>
    </row>
    <row r="1349" spans="1:15" ht="45" hidden="1" outlineLevel="1">
      <c r="A1349" s="2">
        <v>5</v>
      </c>
      <c r="B1349" s="2">
        <v>12</v>
      </c>
      <c r="C1349" s="2">
        <v>2</v>
      </c>
      <c r="D1349" s="2" t="e">
        <f>1+D1347</f>
        <v>#REF!</v>
      </c>
      <c r="E1349" s="20" t="e">
        <f>CONCATENATE(A1349,".",B1349,".",C1349,".",D1349)</f>
        <v>#REF!</v>
      </c>
      <c r="F1349" s="21" t="s">
        <v>3293</v>
      </c>
      <c r="G1349" s="22">
        <v>89797</v>
      </c>
      <c r="H1349" s="23" t="s">
        <v>791</v>
      </c>
      <c r="I1349" s="24" t="s">
        <v>36</v>
      </c>
      <c r="J1349" s="32"/>
      <c r="K1349" s="10"/>
      <c r="L1349" s="32"/>
      <c r="M1349" s="10"/>
      <c r="N1349" s="33"/>
      <c r="O1349" s="11">
        <f>SUM(O1350)</f>
        <v>25</v>
      </c>
    </row>
    <row r="1350" spans="1:15" hidden="1" outlineLevel="1">
      <c r="E1350" s="20"/>
      <c r="F1350" s="21"/>
      <c r="G1350" s="22"/>
      <c r="H1350" s="23"/>
      <c r="I1350" s="24"/>
      <c r="J1350" s="32"/>
      <c r="K1350" s="64"/>
      <c r="L1350" s="32"/>
      <c r="M1350" s="10"/>
      <c r="N1350" s="33">
        <v>25</v>
      </c>
      <c r="O1350" s="58">
        <f>ROUND(PRODUCT(J1350:N1350),2)</f>
        <v>25</v>
      </c>
    </row>
    <row r="1351" spans="1:15" ht="45" hidden="1" outlineLevel="1">
      <c r="A1351" s="2">
        <v>5</v>
      </c>
      <c r="B1351" s="2">
        <v>12</v>
      </c>
      <c r="C1351" s="2">
        <v>2</v>
      </c>
      <c r="D1351" s="2" t="e">
        <f>1+D1349</f>
        <v>#REF!</v>
      </c>
      <c r="E1351" s="20" t="e">
        <f>CONCATENATE(A1351,".",B1351,".",C1351,".",D1351)</f>
        <v>#REF!</v>
      </c>
      <c r="F1351" s="21" t="s">
        <v>3294</v>
      </c>
      <c r="G1351" s="22">
        <v>104345</v>
      </c>
      <c r="H1351" s="23" t="s">
        <v>794</v>
      </c>
      <c r="I1351" s="24" t="s">
        <v>36</v>
      </c>
      <c r="J1351" s="32"/>
      <c r="K1351" s="10"/>
      <c r="L1351" s="32"/>
      <c r="M1351" s="10"/>
      <c r="N1351" s="33"/>
      <c r="O1351" s="11">
        <f>SUM(O1352)</f>
        <v>20</v>
      </c>
    </row>
    <row r="1352" spans="1:15" hidden="1" outlineLevel="1">
      <c r="E1352" s="20"/>
      <c r="F1352" s="21"/>
      <c r="G1352" s="22"/>
      <c r="H1352" s="23"/>
      <c r="I1352" s="24"/>
      <c r="J1352" s="32"/>
      <c r="K1352" s="64"/>
      <c r="L1352" s="32"/>
      <c r="M1352" s="10"/>
      <c r="N1352" s="33">
        <v>20</v>
      </c>
      <c r="O1352" s="58">
        <f>ROUND(PRODUCT(J1352:N1352),2)</f>
        <v>20</v>
      </c>
    </row>
    <row r="1353" spans="1:15" ht="45" hidden="1" outlineLevel="1">
      <c r="A1353" s="2">
        <v>5</v>
      </c>
      <c r="B1353" s="2">
        <v>12</v>
      </c>
      <c r="C1353" s="2">
        <v>2</v>
      </c>
      <c r="D1353" s="2" t="e">
        <f>1+D1351</f>
        <v>#REF!</v>
      </c>
      <c r="E1353" s="20" t="e">
        <f>CONCATENATE(A1353,".",B1353,".",C1353,".",D1353)</f>
        <v>#REF!</v>
      </c>
      <c r="F1353" s="21" t="s">
        <v>3295</v>
      </c>
      <c r="G1353" s="22">
        <v>104355</v>
      </c>
      <c r="H1353" s="23" t="s">
        <v>797</v>
      </c>
      <c r="I1353" s="24" t="s">
        <v>36</v>
      </c>
      <c r="J1353" s="32"/>
      <c r="K1353" s="10"/>
      <c r="L1353" s="32"/>
      <c r="M1353" s="10"/>
      <c r="N1353" s="33"/>
      <c r="O1353" s="11">
        <f>SUM(O1354)</f>
        <v>2</v>
      </c>
    </row>
    <row r="1354" spans="1:15" hidden="1" outlineLevel="1">
      <c r="E1354" s="20"/>
      <c r="F1354" s="21"/>
      <c r="G1354" s="22"/>
      <c r="H1354" s="23"/>
      <c r="I1354" s="24"/>
      <c r="J1354" s="32"/>
      <c r="K1354" s="64"/>
      <c r="L1354" s="32"/>
      <c r="M1354" s="10"/>
      <c r="N1354" s="33">
        <v>2</v>
      </c>
      <c r="O1354" s="58">
        <f>ROUND(PRODUCT(J1354:N1354),2)</f>
        <v>2</v>
      </c>
    </row>
    <row r="1355" spans="1:15" ht="45" hidden="1" outlineLevel="1">
      <c r="A1355" s="2">
        <v>5</v>
      </c>
      <c r="B1355" s="2">
        <v>12</v>
      </c>
      <c r="C1355" s="2">
        <v>2</v>
      </c>
      <c r="D1355" s="2" t="e">
        <f>1+D1353</f>
        <v>#REF!</v>
      </c>
      <c r="E1355" s="20" t="e">
        <f>CONCATENATE(A1355,".",B1355,".",C1355,".",D1355)</f>
        <v>#REF!</v>
      </c>
      <c r="F1355" s="21" t="s">
        <v>3296</v>
      </c>
      <c r="G1355" s="22">
        <v>104348</v>
      </c>
      <c r="H1355" s="23" t="s">
        <v>800</v>
      </c>
      <c r="I1355" s="24" t="s">
        <v>36</v>
      </c>
      <c r="J1355" s="32"/>
      <c r="K1355" s="10"/>
      <c r="L1355" s="32"/>
      <c r="M1355" s="10"/>
      <c r="N1355" s="33"/>
      <c r="O1355" s="11">
        <f>SUM(O1356)</f>
        <v>11</v>
      </c>
    </row>
    <row r="1356" spans="1:15" hidden="1" outlineLevel="1">
      <c r="E1356" s="20"/>
      <c r="F1356" s="21"/>
      <c r="G1356" s="22"/>
      <c r="H1356" s="23"/>
      <c r="I1356" s="24"/>
      <c r="J1356" s="32"/>
      <c r="K1356" s="64"/>
      <c r="L1356" s="32"/>
      <c r="M1356" s="10"/>
      <c r="N1356" s="33">
        <v>11</v>
      </c>
      <c r="O1356" s="58">
        <f>ROUND(PRODUCT(J1356:N1356),2)</f>
        <v>11</v>
      </c>
    </row>
    <row r="1357" spans="1:15" ht="45" hidden="1" outlineLevel="1">
      <c r="A1357" s="2">
        <v>5</v>
      </c>
      <c r="B1357" s="2">
        <v>12</v>
      </c>
      <c r="C1357" s="2">
        <v>2</v>
      </c>
      <c r="D1357" s="2" t="e">
        <f>1+D1355</f>
        <v>#REF!</v>
      </c>
      <c r="E1357" s="20" t="e">
        <f>CONCATENATE(A1357,".",B1357,".",C1357,".",D1357)</f>
        <v>#REF!</v>
      </c>
      <c r="F1357" s="21" t="s">
        <v>3297</v>
      </c>
      <c r="G1357" s="22">
        <v>89782</v>
      </c>
      <c r="H1357" s="23" t="s">
        <v>803</v>
      </c>
      <c r="I1357" s="24" t="s">
        <v>36</v>
      </c>
      <c r="J1357" s="32"/>
      <c r="K1357" s="10"/>
      <c r="L1357" s="32"/>
      <c r="M1357" s="10"/>
      <c r="N1357" s="33"/>
      <c r="O1357" s="11">
        <f>SUM(O1358)</f>
        <v>4</v>
      </c>
    </row>
    <row r="1358" spans="1:15" hidden="1" outlineLevel="1">
      <c r="E1358" s="20"/>
      <c r="F1358" s="21"/>
      <c r="G1358" s="22"/>
      <c r="H1358" s="23"/>
      <c r="I1358" s="24"/>
      <c r="J1358" s="32"/>
      <c r="K1358" s="64"/>
      <c r="L1358" s="32"/>
      <c r="M1358" s="10"/>
      <c r="N1358" s="33">
        <v>4</v>
      </c>
      <c r="O1358" s="58">
        <f>ROUND(PRODUCT(J1358:N1358),2)</f>
        <v>4</v>
      </c>
    </row>
    <row r="1359" spans="1:15" ht="45" hidden="1" outlineLevel="1">
      <c r="A1359" s="2">
        <v>5</v>
      </c>
      <c r="B1359" s="2">
        <v>12</v>
      </c>
      <c r="C1359" s="2">
        <v>2</v>
      </c>
      <c r="D1359" s="2" t="e">
        <f>1+D1357</f>
        <v>#REF!</v>
      </c>
      <c r="E1359" s="20" t="e">
        <f>CONCATENATE(A1359,".",B1359,".",C1359,".",D1359)</f>
        <v>#REF!</v>
      </c>
      <c r="F1359" s="21" t="s">
        <v>3298</v>
      </c>
      <c r="G1359" s="22">
        <v>89825</v>
      </c>
      <c r="H1359" s="23" t="s">
        <v>806</v>
      </c>
      <c r="I1359" s="24" t="s">
        <v>36</v>
      </c>
      <c r="J1359" s="32"/>
      <c r="K1359" s="10"/>
      <c r="L1359" s="32"/>
      <c r="M1359" s="10"/>
      <c r="N1359" s="33"/>
      <c r="O1359" s="11">
        <f>SUM(O1360)</f>
        <v>44</v>
      </c>
    </row>
    <row r="1360" spans="1:15" hidden="1" outlineLevel="1">
      <c r="E1360" s="20"/>
      <c r="F1360" s="21"/>
      <c r="G1360" s="22"/>
      <c r="H1360" s="23"/>
      <c r="I1360" s="24"/>
      <c r="J1360" s="32"/>
      <c r="K1360" s="64"/>
      <c r="L1360" s="32"/>
      <c r="M1360" s="10"/>
      <c r="N1360" s="33">
        <v>44</v>
      </c>
      <c r="O1360" s="58">
        <f>ROUND(PRODUCT(J1360:N1360),2)</f>
        <v>44</v>
      </c>
    </row>
    <row r="1361" spans="1:16" ht="45" hidden="1" outlineLevel="1">
      <c r="A1361" s="2">
        <v>5</v>
      </c>
      <c r="B1361" s="2">
        <v>12</v>
      </c>
      <c r="C1361" s="2">
        <v>2</v>
      </c>
      <c r="D1361" s="2" t="e">
        <f>1+#REF!</f>
        <v>#REF!</v>
      </c>
      <c r="E1361" s="20" t="e">
        <f>CONCATENATE(A1361,".",B1361,".",C1361,".",D1361)</f>
        <v>#REF!</v>
      </c>
      <c r="F1361" s="21" t="s">
        <v>3299</v>
      </c>
      <c r="G1361" s="22">
        <v>104352</v>
      </c>
      <c r="H1361" s="23" t="s">
        <v>809</v>
      </c>
      <c r="I1361" s="24" t="s">
        <v>36</v>
      </c>
      <c r="J1361" s="32"/>
      <c r="K1361" s="10"/>
      <c r="L1361" s="32"/>
      <c r="M1361" s="10"/>
      <c r="N1361" s="33"/>
      <c r="O1361" s="11">
        <f>SUM(O1362)</f>
        <v>2</v>
      </c>
      <c r="P1361" s="185"/>
    </row>
    <row r="1362" spans="1:16" hidden="1" outlineLevel="1">
      <c r="E1362" s="20"/>
      <c r="F1362" s="21"/>
      <c r="G1362" s="22"/>
      <c r="H1362" s="23"/>
      <c r="I1362" s="24"/>
      <c r="J1362" s="32"/>
      <c r="K1362" s="64"/>
      <c r="L1362" s="32"/>
      <c r="M1362" s="10"/>
      <c r="N1362" s="33">
        <v>2</v>
      </c>
      <c r="O1362" s="58">
        <f>ROUND(PRODUCT(J1362:N1362),2)</f>
        <v>2</v>
      </c>
    </row>
    <row r="1363" spans="1:16" ht="45" hidden="1" outlineLevel="1">
      <c r="A1363" s="2">
        <v>5</v>
      </c>
      <c r="B1363" s="2">
        <v>12</v>
      </c>
      <c r="C1363" s="2">
        <v>2</v>
      </c>
      <c r="D1363" s="2" t="e">
        <f>1+D1361</f>
        <v>#REF!</v>
      </c>
      <c r="E1363" s="20" t="e">
        <f>CONCATENATE(A1363,".",B1363,".",C1363,".",D1363)</f>
        <v>#REF!</v>
      </c>
      <c r="F1363" s="21" t="s">
        <v>3300</v>
      </c>
      <c r="G1363" s="65">
        <v>89724</v>
      </c>
      <c r="H1363" s="23" t="s">
        <v>812</v>
      </c>
      <c r="I1363" s="24" t="s">
        <v>144</v>
      </c>
      <c r="J1363" s="32"/>
      <c r="K1363" s="10"/>
      <c r="L1363" s="32"/>
      <c r="M1363" s="10"/>
      <c r="N1363" s="33"/>
      <c r="O1363" s="11">
        <f>SUM(O1364)</f>
        <v>253</v>
      </c>
      <c r="P1363" s="185"/>
    </row>
    <row r="1364" spans="1:16" hidden="1" outlineLevel="1">
      <c r="E1364" s="20"/>
      <c r="F1364" s="21"/>
      <c r="G1364" s="22"/>
      <c r="H1364" s="23"/>
      <c r="I1364" s="24"/>
      <c r="J1364" s="32"/>
      <c r="K1364" s="64"/>
      <c r="L1364" s="32"/>
      <c r="M1364" s="10"/>
      <c r="N1364" s="33">
        <v>253</v>
      </c>
      <c r="O1364" s="58">
        <f>ROUND(PRODUCT(J1364:N1364),2)</f>
        <v>253</v>
      </c>
    </row>
    <row r="1365" spans="1:16" ht="45" hidden="1" outlineLevel="1">
      <c r="A1365" s="2">
        <v>5</v>
      </c>
      <c r="B1365" s="2">
        <v>12</v>
      </c>
      <c r="C1365" s="2">
        <v>2</v>
      </c>
      <c r="D1365" s="2" t="e">
        <f>1+#REF!</f>
        <v>#REF!</v>
      </c>
      <c r="E1365" s="20" t="e">
        <f>CONCATENATE(A1365,".",B1365,".",C1365,".",D1365)</f>
        <v>#REF!</v>
      </c>
      <c r="F1365" s="21" t="s">
        <v>3301</v>
      </c>
      <c r="G1365" s="65">
        <v>89850</v>
      </c>
      <c r="H1365" s="23" t="s">
        <v>815</v>
      </c>
      <c r="I1365" s="24" t="s">
        <v>36</v>
      </c>
      <c r="J1365" s="32"/>
      <c r="K1365" s="10"/>
      <c r="L1365" s="32"/>
      <c r="M1365" s="10"/>
      <c r="N1365" s="33"/>
      <c r="O1365" s="11">
        <f>SUM(O1366)</f>
        <v>37</v>
      </c>
      <c r="P1365" s="185"/>
    </row>
    <row r="1366" spans="1:16" hidden="1" outlineLevel="1">
      <c r="E1366" s="20"/>
      <c r="F1366" s="21"/>
      <c r="G1366" s="22"/>
      <c r="H1366" s="23"/>
      <c r="I1366" s="24"/>
      <c r="J1366" s="32"/>
      <c r="K1366" s="64"/>
      <c r="L1366" s="32"/>
      <c r="M1366" s="10"/>
      <c r="N1366" s="33">
        <v>37</v>
      </c>
      <c r="O1366" s="58">
        <f>ROUND(PRODUCT(J1366:N1366),2)</f>
        <v>37</v>
      </c>
    </row>
    <row r="1367" spans="1:16" hidden="1" outlineLevel="1">
      <c r="A1367" s="2">
        <v>5</v>
      </c>
      <c r="B1367" s="2">
        <v>12</v>
      </c>
      <c r="C1367" s="2">
        <v>2</v>
      </c>
      <c r="D1367" s="2" t="e">
        <f>1+#REF!</f>
        <v>#REF!</v>
      </c>
      <c r="E1367" s="20" t="e">
        <f>CONCATENATE(A1367,".",B1367,".",C1367,".",D1367)</f>
        <v>#REF!</v>
      </c>
      <c r="F1367" s="21" t="s">
        <v>3302</v>
      </c>
      <c r="G1367" s="22">
        <v>2337</v>
      </c>
      <c r="H1367" s="23" t="s">
        <v>818</v>
      </c>
      <c r="I1367" s="24" t="s">
        <v>36</v>
      </c>
      <c r="J1367" s="32"/>
      <c r="K1367" s="10"/>
      <c r="L1367" s="32"/>
      <c r="M1367" s="10"/>
      <c r="N1367" s="33"/>
      <c r="O1367" s="11">
        <f>SUM(O1368)</f>
        <v>2</v>
      </c>
      <c r="P1367" s="185"/>
    </row>
    <row r="1368" spans="1:16" hidden="1" outlineLevel="1">
      <c r="E1368" s="20"/>
      <c r="F1368" s="21"/>
      <c r="G1368" s="22"/>
      <c r="H1368" s="23"/>
      <c r="I1368" s="24" t="s">
        <v>36</v>
      </c>
      <c r="J1368" s="32"/>
      <c r="K1368" s="64"/>
      <c r="L1368" s="32"/>
      <c r="M1368" s="10"/>
      <c r="N1368" s="33">
        <v>2</v>
      </c>
      <c r="O1368" s="58">
        <f>ROUND(PRODUCT(J1368:N1368),2)</f>
        <v>2</v>
      </c>
    </row>
    <row r="1369" spans="1:16" ht="30" hidden="1" outlineLevel="1">
      <c r="A1369" s="2">
        <v>5</v>
      </c>
      <c r="B1369" s="2">
        <v>12</v>
      </c>
      <c r="C1369" s="2">
        <v>2</v>
      </c>
      <c r="D1369" s="2" t="e">
        <f>1+D1367</f>
        <v>#REF!</v>
      </c>
      <c r="E1369" s="20" t="e">
        <f>CONCATENATE(A1369,".",B1369,".",C1369,".",D1369)</f>
        <v>#REF!</v>
      </c>
      <c r="F1369" s="21" t="s">
        <v>3303</v>
      </c>
      <c r="G1369" s="22">
        <v>97897</v>
      </c>
      <c r="H1369" s="23" t="s">
        <v>821</v>
      </c>
      <c r="I1369" s="24" t="s">
        <v>36</v>
      </c>
      <c r="J1369" s="32"/>
      <c r="K1369" s="10"/>
      <c r="L1369" s="32"/>
      <c r="M1369" s="10"/>
      <c r="N1369" s="33"/>
      <c r="O1369" s="11">
        <f>SUM(O1370)</f>
        <v>4</v>
      </c>
      <c r="P1369" s="185"/>
    </row>
    <row r="1370" spans="1:16" hidden="1" outlineLevel="1">
      <c r="E1370" s="20"/>
      <c r="F1370" s="21"/>
      <c r="G1370" s="22"/>
      <c r="H1370" s="23"/>
      <c r="I1370" s="24" t="s">
        <v>36</v>
      </c>
      <c r="J1370" s="32"/>
      <c r="K1370" s="64"/>
      <c r="L1370" s="32"/>
      <c r="M1370" s="10"/>
      <c r="N1370" s="33">
        <v>4</v>
      </c>
      <c r="O1370" s="58">
        <f>ROUND(PRODUCT(J1370:N1370),2)</f>
        <v>4</v>
      </c>
    </row>
    <row r="1371" spans="1:16" ht="30" hidden="1" outlineLevel="1">
      <c r="E1371" s="164"/>
      <c r="F1371" s="21" t="s">
        <v>3304</v>
      </c>
      <c r="G1371" s="22">
        <v>2358</v>
      </c>
      <c r="H1371" s="23" t="s">
        <v>824</v>
      </c>
      <c r="I1371" s="24" t="s">
        <v>36</v>
      </c>
      <c r="J1371" s="32"/>
      <c r="K1371" s="10"/>
      <c r="L1371" s="32"/>
      <c r="M1371" s="10"/>
      <c r="N1371" s="33"/>
      <c r="O1371" s="11">
        <f>SUM(O1372)</f>
        <v>10</v>
      </c>
    </row>
    <row r="1372" spans="1:16" hidden="1" outlineLevel="1">
      <c r="E1372" s="164"/>
      <c r="F1372" s="21"/>
      <c r="G1372" s="22"/>
      <c r="H1372" s="23"/>
      <c r="I1372" s="24" t="s">
        <v>36</v>
      </c>
      <c r="J1372" s="32"/>
      <c r="K1372" s="64"/>
      <c r="L1372" s="32"/>
      <c r="M1372" s="10"/>
      <c r="N1372" s="33">
        <v>10</v>
      </c>
      <c r="O1372" s="58">
        <f>ROUND(PRODUCT(J1372:N1372),2)</f>
        <v>10</v>
      </c>
    </row>
    <row r="1373" spans="1:16" ht="45" hidden="1" outlineLevel="1">
      <c r="E1373" s="164"/>
      <c r="F1373" s="21" t="s">
        <v>3305</v>
      </c>
      <c r="G1373" s="22">
        <v>1055</v>
      </c>
      <c r="H1373" s="23" t="s">
        <v>827</v>
      </c>
      <c r="I1373" s="24" t="s">
        <v>36</v>
      </c>
      <c r="J1373" s="32"/>
      <c r="K1373" s="10"/>
      <c r="L1373" s="32"/>
      <c r="M1373" s="10"/>
      <c r="N1373" s="33"/>
      <c r="O1373" s="11">
        <f>SUM(O1374)</f>
        <v>29</v>
      </c>
    </row>
    <row r="1374" spans="1:16" hidden="1" outlineLevel="1">
      <c r="E1374" s="164"/>
      <c r="F1374" s="21"/>
      <c r="G1374" s="22"/>
      <c r="H1374" s="23"/>
      <c r="I1374" s="24" t="s">
        <v>36</v>
      </c>
      <c r="J1374" s="32"/>
      <c r="K1374" s="64"/>
      <c r="L1374" s="32"/>
      <c r="M1374" s="10"/>
      <c r="N1374" s="33">
        <v>29</v>
      </c>
      <c r="O1374" s="58">
        <f>ROUND(PRODUCT(J1374:N1374),2)</f>
        <v>29</v>
      </c>
    </row>
    <row r="1375" spans="1:16" ht="45" hidden="1" outlineLevel="1">
      <c r="E1375" s="164"/>
      <c r="F1375" s="21" t="s">
        <v>3306</v>
      </c>
      <c r="G1375" s="22">
        <v>89708</v>
      </c>
      <c r="H1375" s="23" t="s">
        <v>3307</v>
      </c>
      <c r="I1375" s="24" t="s">
        <v>36</v>
      </c>
      <c r="J1375" s="32"/>
      <c r="K1375" s="10"/>
      <c r="L1375" s="32"/>
      <c r="M1375" s="10"/>
      <c r="N1375" s="33"/>
      <c r="O1375" s="11">
        <f>SUM(O1376)</f>
        <v>2</v>
      </c>
    </row>
    <row r="1376" spans="1:16" hidden="1" outlineLevel="1">
      <c r="E1376" s="164"/>
      <c r="F1376" s="21"/>
      <c r="G1376" s="22"/>
      <c r="H1376" s="23"/>
      <c r="I1376" s="24" t="s">
        <v>36</v>
      </c>
      <c r="J1376" s="32"/>
      <c r="K1376" s="64"/>
      <c r="L1376" s="32"/>
      <c r="M1376" s="10"/>
      <c r="N1376" s="33">
        <v>2</v>
      </c>
      <c r="O1376" s="58">
        <f>ROUND(PRODUCT(J1376:N1376),2)</f>
        <v>2</v>
      </c>
    </row>
    <row r="1377" spans="1:17" hidden="1" outlineLevel="1">
      <c r="E1377" s="164"/>
      <c r="F1377" s="21" t="s">
        <v>3308</v>
      </c>
      <c r="G1377" s="22">
        <v>2351</v>
      </c>
      <c r="H1377" s="23" t="s">
        <v>833</v>
      </c>
      <c r="I1377" s="24" t="s">
        <v>36</v>
      </c>
      <c r="J1377" s="32"/>
      <c r="K1377" s="10"/>
      <c r="L1377" s="32"/>
      <c r="M1377" s="10"/>
      <c r="N1377" s="33"/>
      <c r="O1377" s="11">
        <f>SUM(O1378)</f>
        <v>34</v>
      </c>
    </row>
    <row r="1378" spans="1:17" hidden="1" outlineLevel="1">
      <c r="E1378" s="164"/>
      <c r="F1378" s="21"/>
      <c r="G1378" s="22"/>
      <c r="H1378" s="23"/>
      <c r="I1378" s="24" t="s">
        <v>36</v>
      </c>
      <c r="J1378" s="32"/>
      <c r="K1378" s="64"/>
      <c r="L1378" s="32"/>
      <c r="M1378" s="10"/>
      <c r="N1378" s="33">
        <v>34</v>
      </c>
      <c r="O1378" s="58">
        <f>ROUND(PRODUCT(J1378:N1378),2)</f>
        <v>34</v>
      </c>
    </row>
    <row r="1379" spans="1:17" collapsed="1">
      <c r="E1379" s="52" t="s">
        <v>3309</v>
      </c>
      <c r="F1379" s="53" t="s">
        <v>3309</v>
      </c>
      <c r="G1379" s="13"/>
      <c r="H1379" s="14" t="s">
        <v>375</v>
      </c>
      <c r="I1379" s="15"/>
      <c r="J1379" s="16"/>
      <c r="K1379" s="17"/>
      <c r="L1379" s="16"/>
      <c r="M1379" s="17"/>
      <c r="N1379" s="18"/>
      <c r="O1379" s="19"/>
      <c r="P1379" s="185" t="s">
        <v>3310</v>
      </c>
      <c r="Q1379" s="185"/>
    </row>
    <row r="1380" spans="1:17" ht="30" hidden="1" outlineLevel="1">
      <c r="A1380" s="2">
        <v>5</v>
      </c>
      <c r="B1380" s="2">
        <v>12</v>
      </c>
      <c r="C1380" s="2">
        <v>3</v>
      </c>
      <c r="D1380" s="2">
        <v>1</v>
      </c>
      <c r="E1380" s="20" t="str">
        <f>CONCATENATE(A1380,".",B1380,".",C1380,".",D1380)</f>
        <v>5.12.3.1</v>
      </c>
      <c r="F1380" s="21" t="s">
        <v>3311</v>
      </c>
      <c r="G1380" s="22">
        <v>86888</v>
      </c>
      <c r="H1380" s="23" t="s">
        <v>378</v>
      </c>
      <c r="I1380" s="24" t="s">
        <v>36</v>
      </c>
      <c r="J1380" s="32"/>
      <c r="K1380" s="10"/>
      <c r="L1380" s="32"/>
      <c r="M1380" s="10"/>
      <c r="N1380" s="33"/>
      <c r="O1380" s="11">
        <f>SUM(O1381:O1381)</f>
        <v>27</v>
      </c>
      <c r="P1380" s="128"/>
      <c r="Q1380" s="185"/>
    </row>
    <row r="1381" spans="1:17" hidden="1" outlineLevel="1">
      <c r="E1381" s="20"/>
      <c r="F1381" s="21"/>
      <c r="G1381" s="22"/>
      <c r="H1381" s="30"/>
      <c r="I1381" s="62"/>
      <c r="J1381" s="37"/>
      <c r="K1381" s="38"/>
      <c r="L1381" s="37"/>
      <c r="M1381" s="38"/>
      <c r="N1381" s="38">
        <v>27</v>
      </c>
      <c r="O1381" s="58">
        <f>ROUND(PRODUCT(J1381:N1381),2)</f>
        <v>27</v>
      </c>
      <c r="P1381" s="185"/>
      <c r="Q1381" s="185"/>
    </row>
    <row r="1382" spans="1:17" ht="30" hidden="1" outlineLevel="1">
      <c r="A1382" s="2">
        <v>5</v>
      </c>
      <c r="B1382" s="2">
        <v>12</v>
      </c>
      <c r="C1382" s="2">
        <v>3</v>
      </c>
      <c r="D1382" s="2">
        <f>1+D1380</f>
        <v>2</v>
      </c>
      <c r="E1382" s="20" t="str">
        <f>CONCATENATE(A1382,".",B1382,".",C1382,".",D1382)</f>
        <v>5.12.3.2</v>
      </c>
      <c r="F1382" s="21" t="s">
        <v>3312</v>
      </c>
      <c r="G1382" s="22">
        <v>95471</v>
      </c>
      <c r="H1382" s="23" t="s">
        <v>3313</v>
      </c>
      <c r="I1382" s="24" t="s">
        <v>36</v>
      </c>
      <c r="J1382" s="32"/>
      <c r="K1382" s="10"/>
      <c r="L1382" s="32"/>
      <c r="M1382" s="10"/>
      <c r="N1382" s="33"/>
      <c r="O1382" s="11">
        <f>SUM(O1383:O1383)</f>
        <v>7</v>
      </c>
      <c r="P1382" s="128"/>
      <c r="Q1382" s="185"/>
    </row>
    <row r="1383" spans="1:17" hidden="1" outlineLevel="1">
      <c r="E1383" s="20"/>
      <c r="F1383" s="21"/>
      <c r="G1383" s="22"/>
      <c r="H1383" s="30"/>
      <c r="I1383" s="62"/>
      <c r="J1383" s="37"/>
      <c r="K1383" s="38"/>
      <c r="L1383" s="37"/>
      <c r="M1383" s="38"/>
      <c r="N1383" s="38">
        <v>7</v>
      </c>
      <c r="O1383" s="58">
        <f>ROUND(PRODUCT(J1383:N1383),2)</f>
        <v>7</v>
      </c>
      <c r="P1383" s="185"/>
      <c r="Q1383" s="185"/>
    </row>
    <row r="1384" spans="1:17" hidden="1" outlineLevel="1">
      <c r="A1384" s="2">
        <v>5</v>
      </c>
      <c r="B1384" s="2">
        <v>12</v>
      </c>
      <c r="C1384" s="2">
        <v>3</v>
      </c>
      <c r="D1384" s="2">
        <f>1+D1382</f>
        <v>3</v>
      </c>
      <c r="E1384" s="20" t="str">
        <f>CONCATENATE(A1384,".",B1384,".",C1384,".",D1384)</f>
        <v>5.12.3.3</v>
      </c>
      <c r="F1384" s="21" t="s">
        <v>3314</v>
      </c>
      <c r="G1384" s="22" t="s">
        <v>383</v>
      </c>
      <c r="H1384" s="23" t="s">
        <v>384</v>
      </c>
      <c r="I1384" s="24" t="s">
        <v>36</v>
      </c>
      <c r="J1384" s="32"/>
      <c r="K1384" s="10"/>
      <c r="L1384" s="32"/>
      <c r="M1384" s="10"/>
      <c r="N1384" s="33"/>
      <c r="O1384" s="11">
        <f>SUM(O1385:O1385)</f>
        <v>34</v>
      </c>
      <c r="P1384" s="128"/>
      <c r="Q1384" s="185"/>
    </row>
    <row r="1385" spans="1:17" hidden="1" outlineLevel="1">
      <c r="E1385" s="20"/>
      <c r="F1385" s="21"/>
      <c r="G1385" s="22"/>
      <c r="H1385" s="30"/>
      <c r="I1385" s="62"/>
      <c r="J1385" s="37"/>
      <c r="K1385" s="38"/>
      <c r="L1385" s="37"/>
      <c r="M1385" s="38"/>
      <c r="N1385" s="38">
        <v>34</v>
      </c>
      <c r="O1385" s="58">
        <f>ROUND(PRODUCT(J1385:N1385),2)</f>
        <v>34</v>
      </c>
      <c r="P1385" s="185"/>
      <c r="Q1385" s="185"/>
    </row>
    <row r="1386" spans="1:17" ht="30" hidden="1" outlineLevel="1">
      <c r="A1386" s="2">
        <v>5</v>
      </c>
      <c r="B1386" s="2">
        <v>12</v>
      </c>
      <c r="C1386" s="2">
        <v>3</v>
      </c>
      <c r="D1386" s="2">
        <f>1+D1384</f>
        <v>4</v>
      </c>
      <c r="E1386" s="20" t="str">
        <f>CONCATENATE(A1386,".",B1386,".",C1386,".",D1386)</f>
        <v>5.12.3.4</v>
      </c>
      <c r="F1386" s="21" t="s">
        <v>3315</v>
      </c>
      <c r="G1386" s="22">
        <v>100860</v>
      </c>
      <c r="H1386" s="23" t="s">
        <v>387</v>
      </c>
      <c r="I1386" s="24" t="s">
        <v>36</v>
      </c>
      <c r="J1386" s="32"/>
      <c r="K1386" s="10"/>
      <c r="L1386" s="32"/>
      <c r="M1386" s="10"/>
      <c r="N1386" s="33"/>
      <c r="O1386" s="11">
        <f>SUM(O1387:O1387)</f>
        <v>2</v>
      </c>
      <c r="P1386" s="128"/>
      <c r="Q1386" s="185"/>
    </row>
    <row r="1387" spans="1:17" hidden="1" outlineLevel="1">
      <c r="E1387" s="20"/>
      <c r="F1387" s="21"/>
      <c r="G1387" s="22"/>
      <c r="H1387" s="30"/>
      <c r="I1387" s="62"/>
      <c r="J1387" s="37"/>
      <c r="K1387" s="38"/>
      <c r="L1387" s="37"/>
      <c r="M1387" s="38"/>
      <c r="N1387" s="38">
        <v>2</v>
      </c>
      <c r="O1387" s="58">
        <f>ROUND(PRODUCT(J1387:N1387),2)</f>
        <v>2</v>
      </c>
      <c r="P1387" s="185"/>
      <c r="Q1387" s="185"/>
    </row>
    <row r="1388" spans="1:17" ht="45" hidden="1" outlineLevel="1">
      <c r="A1388" s="2">
        <v>5</v>
      </c>
      <c r="B1388" s="2">
        <v>12</v>
      </c>
      <c r="C1388" s="2">
        <v>3</v>
      </c>
      <c r="D1388" s="2">
        <f>1+D1386</f>
        <v>5</v>
      </c>
      <c r="E1388" s="20" t="str">
        <f>CONCATENATE(A1388,".",B1388,".",C1388,".",D1388)</f>
        <v>5.12.3.5</v>
      </c>
      <c r="F1388" s="21" t="s">
        <v>3316</v>
      </c>
      <c r="G1388" s="22">
        <v>410</v>
      </c>
      <c r="H1388" s="23" t="s">
        <v>3317</v>
      </c>
      <c r="I1388" s="24" t="s">
        <v>36</v>
      </c>
      <c r="J1388" s="32"/>
      <c r="K1388" s="10"/>
      <c r="L1388" s="32"/>
      <c r="M1388" s="10"/>
      <c r="N1388" s="33"/>
      <c r="O1388" s="11">
        <f>SUM(O1389)</f>
        <v>10</v>
      </c>
      <c r="P1388" s="128"/>
      <c r="Q1388" s="185"/>
    </row>
    <row r="1389" spans="1:17" hidden="1" outlineLevel="1">
      <c r="E1389" s="20"/>
      <c r="F1389" s="21"/>
      <c r="G1389" s="22"/>
      <c r="H1389" s="30"/>
      <c r="I1389" s="62"/>
      <c r="J1389" s="37"/>
      <c r="K1389" s="38"/>
      <c r="L1389" s="37"/>
      <c r="M1389" s="38"/>
      <c r="N1389" s="38">
        <v>10</v>
      </c>
      <c r="O1389" s="58">
        <f>ROUND(PRODUCT(J1389:N1389),2)</f>
        <v>10</v>
      </c>
      <c r="P1389" s="185"/>
      <c r="Q1389" s="185"/>
    </row>
    <row r="1390" spans="1:17" ht="45" hidden="1" outlineLevel="1">
      <c r="A1390" s="2">
        <v>5</v>
      </c>
      <c r="B1390" s="2">
        <v>12</v>
      </c>
      <c r="C1390" s="2">
        <v>3</v>
      </c>
      <c r="D1390" s="2">
        <f>1+D1388</f>
        <v>6</v>
      </c>
      <c r="E1390" s="20" t="str">
        <f>CONCATENATE(A1390,".",B1390,".",C1390,".",D1390)</f>
        <v>5.12.3.6</v>
      </c>
      <c r="F1390" s="21" t="s">
        <v>3318</v>
      </c>
      <c r="G1390" s="22" t="s">
        <v>392</v>
      </c>
      <c r="H1390" s="23" t="s">
        <v>393</v>
      </c>
      <c r="I1390" s="24" t="s">
        <v>36</v>
      </c>
      <c r="J1390" s="32"/>
      <c r="K1390" s="10"/>
      <c r="L1390" s="32"/>
      <c r="M1390" s="10"/>
      <c r="N1390" s="33"/>
      <c r="O1390" s="11">
        <f>SUM(O1391)</f>
        <v>1</v>
      </c>
      <c r="P1390" s="128"/>
      <c r="Q1390" s="185"/>
    </row>
    <row r="1391" spans="1:17" hidden="1" outlineLevel="1">
      <c r="E1391" s="20"/>
      <c r="F1391" s="21"/>
      <c r="G1391" s="22"/>
      <c r="H1391" s="30"/>
      <c r="I1391" s="62"/>
      <c r="J1391" s="37"/>
      <c r="K1391" s="38"/>
      <c r="L1391" s="37"/>
      <c r="M1391" s="38"/>
      <c r="N1391" s="38">
        <v>1</v>
      </c>
      <c r="O1391" s="58">
        <f>ROUND(PRODUCT(J1391:N1391),2)</f>
        <v>1</v>
      </c>
      <c r="P1391" s="185"/>
      <c r="Q1391" s="185"/>
    </row>
    <row r="1392" spans="1:17" ht="30" hidden="1" outlineLevel="1">
      <c r="A1392" s="2">
        <v>5</v>
      </c>
      <c r="B1392" s="2">
        <v>12</v>
      </c>
      <c r="C1392" s="2">
        <v>3</v>
      </c>
      <c r="D1392" s="2">
        <f>1+D1390</f>
        <v>7</v>
      </c>
      <c r="E1392" s="20" t="str">
        <f>CONCATENATE(A1392,".",B1392,".",C1392,".",D1392)</f>
        <v>5.12.3.7</v>
      </c>
      <c r="F1392" s="21" t="s">
        <v>3319</v>
      </c>
      <c r="G1392" s="22">
        <v>86909</v>
      </c>
      <c r="H1392" s="23" t="s">
        <v>396</v>
      </c>
      <c r="I1392" s="24" t="s">
        <v>36</v>
      </c>
      <c r="J1392" s="32"/>
      <c r="K1392" s="10"/>
      <c r="L1392" s="32"/>
      <c r="M1392" s="10"/>
      <c r="N1392" s="33"/>
      <c r="O1392" s="11">
        <f>SUM(O1393)</f>
        <v>1</v>
      </c>
      <c r="P1392" s="128"/>
      <c r="Q1392" s="185"/>
    </row>
    <row r="1393" spans="1:17" hidden="1" outlineLevel="1">
      <c r="E1393" s="20"/>
      <c r="F1393" s="21"/>
      <c r="G1393" s="22"/>
      <c r="H1393" s="30" t="s">
        <v>2880</v>
      </c>
      <c r="I1393" s="62"/>
      <c r="J1393" s="37"/>
      <c r="K1393" s="38"/>
      <c r="L1393" s="37"/>
      <c r="M1393" s="38"/>
      <c r="N1393" s="38">
        <v>1</v>
      </c>
      <c r="O1393" s="58">
        <f>ROUND(PRODUCT(J1393:N1393),2)</f>
        <v>1</v>
      </c>
      <c r="P1393" s="185"/>
      <c r="Q1393" s="185"/>
    </row>
    <row r="1394" spans="1:17" ht="30" hidden="1" outlineLevel="1">
      <c r="A1394" s="2">
        <v>5</v>
      </c>
      <c r="B1394" s="2">
        <v>12</v>
      </c>
      <c r="C1394" s="2">
        <v>3</v>
      </c>
      <c r="D1394" s="2">
        <f>1+D1392</f>
        <v>8</v>
      </c>
      <c r="E1394" s="66" t="str">
        <f>CONCATENATE(A1394,".",B1394,".",C1394,".",D1394)</f>
        <v>5.12.3.8</v>
      </c>
      <c r="F1394" s="21" t="s">
        <v>3320</v>
      </c>
      <c r="G1394" s="22">
        <v>86914</v>
      </c>
      <c r="H1394" s="23" t="s">
        <v>399</v>
      </c>
      <c r="I1394" s="24" t="s">
        <v>36</v>
      </c>
      <c r="J1394" s="32"/>
      <c r="K1394" s="10"/>
      <c r="L1394" s="32"/>
      <c r="M1394" s="10"/>
      <c r="N1394" s="33"/>
      <c r="O1394" s="11">
        <f>SUM(O1395)</f>
        <v>16</v>
      </c>
      <c r="P1394" s="128"/>
      <c r="Q1394" s="185"/>
    </row>
    <row r="1395" spans="1:17" hidden="1" outlineLevel="1">
      <c r="E1395" s="20"/>
      <c r="F1395" s="21"/>
      <c r="G1395" s="22"/>
      <c r="H1395" s="30"/>
      <c r="I1395" s="62"/>
      <c r="J1395" s="37"/>
      <c r="K1395" s="38"/>
      <c r="L1395" s="37"/>
      <c r="M1395" s="38"/>
      <c r="N1395" s="38">
        <v>16</v>
      </c>
      <c r="O1395" s="58">
        <f>ROUND(PRODUCT(J1395:N1395),2)</f>
        <v>16</v>
      </c>
      <c r="P1395" s="185"/>
      <c r="Q1395" s="185"/>
    </row>
    <row r="1396" spans="1:17" ht="30" hidden="1" outlineLevel="1">
      <c r="A1396" s="2">
        <v>5</v>
      </c>
      <c r="B1396" s="2">
        <v>12</v>
      </c>
      <c r="C1396" s="2">
        <v>3</v>
      </c>
      <c r="D1396" s="2">
        <f>1+D1394</f>
        <v>9</v>
      </c>
      <c r="E1396" s="20" t="str">
        <f>CONCATENATE(A1396,".",B1396,".",C1396,".",D1396)</f>
        <v>5.12.3.9</v>
      </c>
      <c r="F1396" s="21" t="s">
        <v>3321</v>
      </c>
      <c r="G1396" s="22" t="s">
        <v>401</v>
      </c>
      <c r="H1396" s="23" t="s">
        <v>3322</v>
      </c>
      <c r="I1396" s="24" t="s">
        <v>36</v>
      </c>
      <c r="J1396" s="32"/>
      <c r="K1396" s="10"/>
      <c r="L1396" s="32"/>
      <c r="M1396" s="10"/>
      <c r="N1396" s="33"/>
      <c r="O1396" s="11">
        <f>SUM(O1397:O1397)</f>
        <v>7</v>
      </c>
      <c r="P1396" s="128"/>
      <c r="Q1396" s="185"/>
    </row>
    <row r="1397" spans="1:17" hidden="1" outlineLevel="1">
      <c r="E1397" s="20"/>
      <c r="F1397" s="21"/>
      <c r="G1397" s="22"/>
      <c r="H1397" s="30"/>
      <c r="I1397" s="62"/>
      <c r="J1397" s="37"/>
      <c r="K1397" s="38"/>
      <c r="L1397" s="37"/>
      <c r="M1397" s="38"/>
      <c r="N1397" s="38">
        <v>7</v>
      </c>
      <c r="O1397" s="58">
        <f>ROUND(PRODUCT(J1397:N1397),2)</f>
        <v>7</v>
      </c>
      <c r="P1397" s="185"/>
      <c r="Q1397" s="185"/>
    </row>
    <row r="1398" spans="1:17" ht="30" hidden="1" outlineLevel="1">
      <c r="A1398" s="2">
        <v>5</v>
      </c>
      <c r="B1398" s="2">
        <v>12</v>
      </c>
      <c r="C1398" s="2">
        <v>3</v>
      </c>
      <c r="D1398" s="2">
        <f>1+D1396</f>
        <v>10</v>
      </c>
      <c r="E1398" s="66" t="str">
        <f>CONCATENATE(A1398,".",B1398,".",C1398,".",D1398)</f>
        <v>5.12.3.10</v>
      </c>
      <c r="F1398" s="21" t="s">
        <v>3323</v>
      </c>
      <c r="G1398" s="22">
        <v>86915</v>
      </c>
      <c r="H1398" s="23" t="s">
        <v>405</v>
      </c>
      <c r="I1398" s="24" t="s">
        <v>36</v>
      </c>
      <c r="J1398" s="32"/>
      <c r="K1398" s="10"/>
      <c r="L1398" s="32"/>
      <c r="M1398" s="10"/>
      <c r="N1398" s="33"/>
      <c r="O1398" s="11">
        <f>SUM(O1399:O1399)</f>
        <v>29</v>
      </c>
      <c r="P1398" s="128"/>
      <c r="Q1398" s="185"/>
    </row>
    <row r="1399" spans="1:17" hidden="1" outlineLevel="1">
      <c r="E1399" s="20"/>
      <c r="F1399" s="21"/>
      <c r="G1399" s="22"/>
      <c r="H1399" s="30"/>
      <c r="I1399" s="62"/>
      <c r="J1399" s="37"/>
      <c r="K1399" s="38"/>
      <c r="L1399" s="37"/>
      <c r="M1399" s="38"/>
      <c r="N1399" s="38">
        <v>29</v>
      </c>
      <c r="O1399" s="58">
        <f>ROUND(PRODUCT(J1399:N1399),2)</f>
        <v>29</v>
      </c>
      <c r="P1399" s="185"/>
      <c r="Q1399" s="185"/>
    </row>
    <row r="1400" spans="1:17" hidden="1" outlineLevel="1">
      <c r="A1400" s="2">
        <v>5</v>
      </c>
      <c r="B1400" s="2">
        <v>12</v>
      </c>
      <c r="C1400" s="2">
        <v>3</v>
      </c>
      <c r="D1400" s="2">
        <f>1+D1398</f>
        <v>11</v>
      </c>
      <c r="E1400" s="20" t="str">
        <f>CONCATENATE(A1400,".",B1400,".",C1400,".",D1400)</f>
        <v>5.12.3.11</v>
      </c>
      <c r="F1400" s="21" t="s">
        <v>3324</v>
      </c>
      <c r="G1400" s="22">
        <v>2440</v>
      </c>
      <c r="H1400" s="23" t="s">
        <v>408</v>
      </c>
      <c r="I1400" s="24" t="s">
        <v>276</v>
      </c>
      <c r="J1400" s="32"/>
      <c r="K1400" s="10"/>
      <c r="L1400" s="32"/>
      <c r="M1400" s="10"/>
      <c r="N1400" s="33"/>
      <c r="O1400" s="11">
        <f>SUM(O1401)</f>
        <v>9</v>
      </c>
      <c r="P1400" s="128"/>
      <c r="Q1400" s="185"/>
    </row>
    <row r="1401" spans="1:17" hidden="1" outlineLevel="1">
      <c r="E1401" s="20"/>
      <c r="F1401" s="21"/>
      <c r="G1401" s="22"/>
      <c r="H1401" s="30"/>
      <c r="I1401" s="62"/>
      <c r="J1401" s="37"/>
      <c r="K1401" s="38"/>
      <c r="L1401" s="37"/>
      <c r="M1401" s="38"/>
      <c r="N1401" s="38">
        <v>9</v>
      </c>
      <c r="O1401" s="58">
        <f>ROUND(PRODUCT(J1401:N1401),2)</f>
        <v>9</v>
      </c>
      <c r="P1401" s="185"/>
      <c r="Q1401" s="185"/>
    </row>
    <row r="1402" spans="1:17" hidden="1" outlineLevel="1">
      <c r="E1402" s="20"/>
      <c r="F1402" s="21" t="s">
        <v>3324</v>
      </c>
      <c r="G1402" s="22">
        <v>2441</v>
      </c>
      <c r="H1402" s="23" t="s">
        <v>411</v>
      </c>
      <c r="I1402" s="24" t="s">
        <v>276</v>
      </c>
      <c r="J1402" s="32"/>
      <c r="K1402" s="10"/>
      <c r="L1402" s="32"/>
      <c r="M1402" s="10"/>
      <c r="N1402" s="33"/>
      <c r="O1402" s="11">
        <f>SUM(O1403)</f>
        <v>5</v>
      </c>
      <c r="P1402" s="128"/>
      <c r="Q1402" s="185"/>
    </row>
    <row r="1403" spans="1:17" hidden="1" outlineLevel="1">
      <c r="E1403" s="20"/>
      <c r="F1403" s="21"/>
      <c r="G1403" s="22"/>
      <c r="H1403" s="30"/>
      <c r="I1403" s="62"/>
      <c r="J1403" s="37"/>
      <c r="K1403" s="38"/>
      <c r="L1403" s="37"/>
      <c r="M1403" s="38"/>
      <c r="N1403" s="38">
        <v>5</v>
      </c>
      <c r="O1403" s="58">
        <f>ROUND(PRODUCT(J1403:N1403),2)</f>
        <v>5</v>
      </c>
      <c r="P1403" s="185"/>
      <c r="Q1403" s="185"/>
    </row>
    <row r="1404" spans="1:17" hidden="1" outlineLevel="1">
      <c r="E1404" s="20"/>
      <c r="F1404" s="21" t="s">
        <v>3324</v>
      </c>
      <c r="G1404" s="22"/>
      <c r="H1404" s="23"/>
      <c r="I1404" s="24" t="s">
        <v>276</v>
      </c>
      <c r="J1404" s="32"/>
      <c r="K1404" s="10"/>
      <c r="L1404" s="32"/>
      <c r="M1404" s="10"/>
      <c r="N1404" s="33"/>
      <c r="O1404" s="11">
        <f>SUM(O1405)</f>
        <v>0</v>
      </c>
      <c r="P1404" s="185"/>
      <c r="Q1404" s="185"/>
    </row>
    <row r="1405" spans="1:17" hidden="1" outlineLevel="1">
      <c r="E1405" s="20"/>
      <c r="F1405" s="21"/>
      <c r="G1405" s="22"/>
      <c r="H1405" s="30"/>
      <c r="I1405" s="62"/>
      <c r="J1405" s="37"/>
      <c r="K1405" s="38"/>
      <c r="L1405" s="37"/>
      <c r="M1405" s="38"/>
      <c r="N1405" s="38"/>
      <c r="O1405" s="58">
        <f>ROUND(PRODUCT(J1405:N1405),2)</f>
        <v>0</v>
      </c>
      <c r="P1405" s="185"/>
      <c r="Q1405" s="185"/>
    </row>
    <row r="1406" spans="1:17" ht="30" hidden="1" outlineLevel="1">
      <c r="A1406" s="2">
        <v>5</v>
      </c>
      <c r="B1406" s="2">
        <v>12</v>
      </c>
      <c r="C1406" s="2">
        <v>3</v>
      </c>
      <c r="D1406" s="2">
        <f>1+D1400</f>
        <v>12</v>
      </c>
      <c r="E1406" s="20" t="str">
        <f>CONCATENATE(A1406,".",B1406,".",C1406,".",D1406)</f>
        <v>5.12.3.12</v>
      </c>
      <c r="F1406" s="21" t="s">
        <v>3325</v>
      </c>
      <c r="G1406" s="22">
        <v>100872</v>
      </c>
      <c r="H1406" s="23" t="s">
        <v>3326</v>
      </c>
      <c r="I1406" s="24" t="s">
        <v>36</v>
      </c>
      <c r="J1406" s="32"/>
      <c r="K1406" s="10"/>
      <c r="L1406" s="32"/>
      <c r="M1406" s="10"/>
      <c r="N1406" s="33"/>
      <c r="O1406" s="11">
        <f>SUM(O1407:O1407)</f>
        <v>14</v>
      </c>
      <c r="P1406" s="128"/>
      <c r="Q1406" s="185"/>
    </row>
    <row r="1407" spans="1:17" hidden="1" outlineLevel="1">
      <c r="E1407" s="20"/>
      <c r="F1407" s="21"/>
      <c r="G1407" s="22"/>
      <c r="H1407" s="30"/>
      <c r="I1407" s="62"/>
      <c r="J1407" s="37"/>
      <c r="K1407" s="38"/>
      <c r="L1407" s="37"/>
      <c r="M1407" s="38"/>
      <c r="N1407" s="38">
        <v>14</v>
      </c>
      <c r="O1407" s="58">
        <f>ROUND(PRODUCT(J1407:N1407),2)</f>
        <v>14</v>
      </c>
      <c r="P1407" s="185"/>
      <c r="Q1407" s="185"/>
    </row>
    <row r="1408" spans="1:17" hidden="1" outlineLevel="1">
      <c r="A1408" s="2">
        <v>5</v>
      </c>
      <c r="B1408" s="2">
        <v>12</v>
      </c>
      <c r="C1408" s="2">
        <v>3</v>
      </c>
      <c r="D1408" s="2">
        <f>1+D1406</f>
        <v>13</v>
      </c>
      <c r="E1408" s="20" t="str">
        <f>CONCATENATE(A1408,".",B1408,".",C1408,".",D1408)</f>
        <v>5.12.3.13</v>
      </c>
      <c r="F1408" s="21" t="s">
        <v>3327</v>
      </c>
      <c r="G1408" s="22"/>
      <c r="H1408" s="23"/>
      <c r="I1408" s="24" t="s">
        <v>36</v>
      </c>
      <c r="J1408" s="32"/>
      <c r="K1408" s="10"/>
      <c r="L1408" s="32"/>
      <c r="M1408" s="10"/>
      <c r="N1408" s="33"/>
      <c r="O1408" s="11">
        <f>SUM(O1409)</f>
        <v>0</v>
      </c>
      <c r="P1408" s="185"/>
      <c r="Q1408" s="185"/>
    </row>
    <row r="1409" spans="1:17" hidden="1" outlineLevel="1">
      <c r="E1409" s="20"/>
      <c r="F1409" s="21"/>
      <c r="G1409" s="22"/>
      <c r="H1409" s="30"/>
      <c r="I1409" s="62"/>
      <c r="J1409" s="37"/>
      <c r="K1409" s="38"/>
      <c r="L1409" s="37"/>
      <c r="M1409" s="38"/>
      <c r="N1409" s="38"/>
      <c r="O1409" s="58">
        <f>ROUND(PRODUCT(J1409:N1409),2)</f>
        <v>0</v>
      </c>
      <c r="P1409" s="185"/>
      <c r="Q1409" s="185"/>
    </row>
    <row r="1410" spans="1:17" hidden="1" outlineLevel="1">
      <c r="A1410" s="2">
        <v>5</v>
      </c>
      <c r="B1410" s="2">
        <v>12</v>
      </c>
      <c r="C1410" s="2">
        <v>3</v>
      </c>
      <c r="D1410" s="2">
        <f>1+D1408</f>
        <v>14</v>
      </c>
      <c r="E1410" s="20" t="str">
        <f>CONCATENATE(A1410,".",B1410,".",C1410,".",D1410)</f>
        <v>5.12.3.14</v>
      </c>
      <c r="F1410" s="21" t="s">
        <v>3328</v>
      </c>
      <c r="G1410" s="22">
        <v>371</v>
      </c>
      <c r="H1410" s="23" t="s">
        <v>417</v>
      </c>
      <c r="I1410" s="24" t="s">
        <v>36</v>
      </c>
      <c r="J1410" s="32"/>
      <c r="K1410" s="10"/>
      <c r="L1410" s="32"/>
      <c r="M1410" s="10"/>
      <c r="N1410" s="33"/>
      <c r="O1410" s="11">
        <f>SUM(O1411:O1411)</f>
        <v>6</v>
      </c>
      <c r="P1410" s="128"/>
      <c r="Q1410" s="185"/>
    </row>
    <row r="1411" spans="1:17" hidden="1" outlineLevel="1">
      <c r="E1411" s="20"/>
      <c r="F1411" s="21"/>
      <c r="G1411" s="22"/>
      <c r="H1411" s="30"/>
      <c r="I1411" s="62"/>
      <c r="J1411" s="37"/>
      <c r="K1411" s="38"/>
      <c r="L1411" s="37"/>
      <c r="M1411" s="38"/>
      <c r="N1411" s="38">
        <v>6</v>
      </c>
      <c r="O1411" s="58">
        <f>ROUND(PRODUCT(J1411:N1411),2)</f>
        <v>6</v>
      </c>
      <c r="P1411" s="185"/>
      <c r="Q1411" s="185"/>
    </row>
    <row r="1412" spans="1:17" hidden="1" outlineLevel="1">
      <c r="A1412" s="2">
        <v>5</v>
      </c>
      <c r="B1412" s="2">
        <v>12</v>
      </c>
      <c r="C1412" s="2">
        <v>3</v>
      </c>
      <c r="D1412" s="2">
        <f>1+D1410</f>
        <v>15</v>
      </c>
      <c r="E1412" s="20" t="str">
        <f>CONCATENATE(A1412,".",B1412,".",C1412,".",D1412)</f>
        <v>5.12.3.15</v>
      </c>
      <c r="F1412" s="21" t="s">
        <v>3329</v>
      </c>
      <c r="G1412" s="22">
        <v>95547</v>
      </c>
      <c r="H1412" s="23" t="s">
        <v>3330</v>
      </c>
      <c r="I1412" s="24" t="s">
        <v>36</v>
      </c>
      <c r="J1412" s="32"/>
      <c r="K1412" s="10"/>
      <c r="L1412" s="32"/>
      <c r="M1412" s="10"/>
      <c r="N1412" s="33"/>
      <c r="O1412" s="11">
        <f>SUM(O1413)</f>
        <v>16</v>
      </c>
      <c r="P1412" s="128"/>
      <c r="Q1412" s="185"/>
    </row>
    <row r="1413" spans="1:17" hidden="1" outlineLevel="1">
      <c r="E1413" s="20"/>
      <c r="F1413" s="21"/>
      <c r="G1413" s="22"/>
      <c r="H1413" s="30"/>
      <c r="I1413" s="62"/>
      <c r="J1413" s="37"/>
      <c r="K1413" s="38"/>
      <c r="L1413" s="37"/>
      <c r="M1413" s="38"/>
      <c r="N1413" s="38">
        <v>16</v>
      </c>
      <c r="O1413" s="58">
        <f>ROUND(PRODUCT(J1413:N1413),2)</f>
        <v>16</v>
      </c>
      <c r="P1413" s="185"/>
      <c r="Q1413" s="185"/>
    </row>
    <row r="1414" spans="1:17" hidden="1" outlineLevel="1">
      <c r="E1414" s="20"/>
      <c r="F1414" s="21"/>
      <c r="G1414" s="22"/>
      <c r="H1414" s="30"/>
      <c r="I1414" s="62"/>
      <c r="J1414" s="37"/>
      <c r="K1414" s="38"/>
      <c r="L1414" s="37"/>
      <c r="M1414" s="38"/>
      <c r="N1414" s="38"/>
      <c r="O1414" s="58">
        <f>ROUND(PRODUCT(J1414:N1414),2)</f>
        <v>0</v>
      </c>
      <c r="P1414" s="185"/>
      <c r="Q1414" s="185"/>
    </row>
    <row r="1415" spans="1:17" hidden="1" outlineLevel="1">
      <c r="E1415" s="20"/>
      <c r="F1415" s="21"/>
      <c r="G1415" s="22"/>
      <c r="H1415" s="30"/>
      <c r="I1415" s="62"/>
      <c r="J1415" s="37"/>
      <c r="K1415" s="38"/>
      <c r="L1415" s="37"/>
      <c r="M1415" s="38"/>
      <c r="N1415" s="38"/>
      <c r="O1415" s="58">
        <f>ROUND(PRODUCT(J1415:N1415),2)</f>
        <v>0</v>
      </c>
      <c r="P1415" s="185"/>
      <c r="Q1415" s="185"/>
    </row>
    <row r="1416" spans="1:17" hidden="1" outlineLevel="1">
      <c r="E1416" s="20"/>
      <c r="F1416" s="21"/>
      <c r="G1416" s="22"/>
      <c r="H1416" s="30"/>
      <c r="I1416" s="62"/>
      <c r="J1416" s="37"/>
      <c r="K1416" s="38"/>
      <c r="L1416" s="37"/>
      <c r="M1416" s="38"/>
      <c r="N1416" s="38"/>
      <c r="O1416" s="58">
        <f>ROUND(PRODUCT(J1416:N1416),2)</f>
        <v>0</v>
      </c>
      <c r="P1416" s="185"/>
      <c r="Q1416" s="185"/>
    </row>
    <row r="1417" spans="1:17" hidden="1" outlineLevel="1">
      <c r="A1417" s="2">
        <v>5</v>
      </c>
      <c r="B1417" s="2">
        <v>12</v>
      </c>
      <c r="C1417" s="2">
        <v>3</v>
      </c>
      <c r="D1417" s="2">
        <f>1+D1412</f>
        <v>16</v>
      </c>
      <c r="E1417" s="20" t="str">
        <f>CONCATENATE(A1417,".",B1417,".",C1417,".",D1417)</f>
        <v>5.12.3.16</v>
      </c>
      <c r="F1417" s="21" t="s">
        <v>3331</v>
      </c>
      <c r="G1417" s="22">
        <v>100705</v>
      </c>
      <c r="H1417" s="23" t="s">
        <v>426</v>
      </c>
      <c r="I1417" s="24" t="s">
        <v>36</v>
      </c>
      <c r="J1417" s="32"/>
      <c r="K1417" s="10"/>
      <c r="L1417" s="32"/>
      <c r="M1417" s="10"/>
      <c r="N1417" s="33"/>
      <c r="O1417" s="11">
        <f>SUM(O1418:O1418)</f>
        <v>34</v>
      </c>
      <c r="P1417" s="128"/>
      <c r="Q1417" s="185"/>
    </row>
    <row r="1418" spans="1:17" hidden="1" outlineLevel="1">
      <c r="E1418" s="20"/>
      <c r="F1418" s="21"/>
      <c r="G1418" s="22"/>
      <c r="H1418" s="30"/>
      <c r="I1418" s="62"/>
      <c r="J1418" s="37"/>
      <c r="K1418" s="38"/>
      <c r="L1418" s="37"/>
      <c r="M1418" s="38"/>
      <c r="N1418" s="38">
        <v>34</v>
      </c>
      <c r="O1418" s="58">
        <f>ROUND(PRODUCT(J1418:N1418),2)</f>
        <v>34</v>
      </c>
      <c r="P1418" s="185"/>
      <c r="Q1418" s="185"/>
    </row>
    <row r="1419" spans="1:17" hidden="1" outlineLevel="1">
      <c r="A1419" s="2">
        <v>5</v>
      </c>
      <c r="B1419" s="2">
        <v>12</v>
      </c>
      <c r="C1419" s="2">
        <v>3</v>
      </c>
      <c r="D1419" s="2">
        <f>1+D1417</f>
        <v>17</v>
      </c>
      <c r="E1419" s="20" t="str">
        <f>CONCATENATE(A1419,".",B1419,".",C1419,".",D1419)</f>
        <v>5.12.3.17</v>
      </c>
      <c r="F1419" s="21" t="s">
        <v>3332</v>
      </c>
      <c r="G1419" s="22"/>
      <c r="H1419" s="23"/>
      <c r="I1419" s="24" t="s">
        <v>36</v>
      </c>
      <c r="J1419" s="32"/>
      <c r="K1419" s="10"/>
      <c r="L1419" s="32"/>
      <c r="M1419" s="10"/>
      <c r="N1419" s="33"/>
      <c r="O1419" s="11">
        <f>SUM(O1420:O1421)</f>
        <v>0</v>
      </c>
      <c r="P1419" s="185"/>
      <c r="Q1419" s="185"/>
    </row>
    <row r="1420" spans="1:17" hidden="1" outlineLevel="1">
      <c r="E1420" s="20"/>
      <c r="F1420" s="21"/>
      <c r="G1420" s="22"/>
      <c r="H1420" s="30"/>
      <c r="I1420" s="62"/>
      <c r="J1420" s="37"/>
      <c r="K1420" s="38"/>
      <c r="L1420" s="37"/>
      <c r="M1420" s="38"/>
      <c r="N1420" s="38"/>
      <c r="O1420" s="58">
        <f>ROUND(PRODUCT(J1420:N1420),2)</f>
        <v>0</v>
      </c>
      <c r="P1420" s="185"/>
      <c r="Q1420" s="185"/>
    </row>
    <row r="1421" spans="1:17" hidden="1" outlineLevel="1">
      <c r="E1421" s="20"/>
      <c r="F1421" s="21"/>
      <c r="G1421" s="22"/>
      <c r="H1421" s="30"/>
      <c r="I1421" s="62"/>
      <c r="J1421" s="37"/>
      <c r="K1421" s="38"/>
      <c r="L1421" s="37"/>
      <c r="M1421" s="38"/>
      <c r="N1421" s="38"/>
      <c r="O1421" s="58">
        <f>ROUND(PRODUCT(J1421:N1421),2)</f>
        <v>0</v>
      </c>
      <c r="P1421" s="185"/>
      <c r="Q1421" s="185"/>
    </row>
    <row r="1422" spans="1:17" hidden="1" outlineLevel="1">
      <c r="A1422" s="2">
        <v>5</v>
      </c>
      <c r="B1422" s="2">
        <v>12</v>
      </c>
      <c r="C1422" s="2">
        <v>3</v>
      </c>
      <c r="D1422" s="2">
        <f>1+D1419</f>
        <v>18</v>
      </c>
      <c r="E1422" s="20" t="str">
        <f>CONCATENATE(A1422,".",B1422,".",C1422,".",D1422)</f>
        <v>5.12.3.18</v>
      </c>
      <c r="F1422" s="21" t="s">
        <v>3333</v>
      </c>
      <c r="G1422" s="22"/>
      <c r="H1422" s="23"/>
      <c r="I1422" s="24" t="s">
        <v>36</v>
      </c>
      <c r="J1422" s="32"/>
      <c r="K1422" s="10"/>
      <c r="L1422" s="32"/>
      <c r="M1422" s="10"/>
      <c r="N1422" s="33"/>
      <c r="O1422" s="11">
        <f>SUM(O1423)</f>
        <v>0</v>
      </c>
      <c r="P1422" s="185"/>
      <c r="Q1422" s="185"/>
    </row>
    <row r="1423" spans="1:17" hidden="1" outlineLevel="1">
      <c r="E1423" s="20"/>
      <c r="F1423" s="21"/>
      <c r="G1423" s="22"/>
      <c r="H1423" s="30"/>
      <c r="I1423" s="62"/>
      <c r="J1423" s="37"/>
      <c r="K1423" s="38"/>
      <c r="L1423" s="37"/>
      <c r="M1423" s="38"/>
      <c r="N1423" s="38"/>
      <c r="O1423" s="58">
        <f>ROUND(PRODUCT(J1423:N1423),2)</f>
        <v>0</v>
      </c>
      <c r="P1423" s="185"/>
      <c r="Q1423" s="185"/>
    </row>
    <row r="1424" spans="1:17" hidden="1" outlineLevel="1">
      <c r="E1424" s="20"/>
      <c r="F1424" s="21"/>
      <c r="G1424" s="22"/>
      <c r="H1424" s="30"/>
      <c r="I1424" s="62"/>
      <c r="J1424" s="37"/>
      <c r="K1424" s="38"/>
      <c r="L1424" s="37"/>
      <c r="M1424" s="38"/>
      <c r="N1424" s="38"/>
      <c r="O1424" s="58">
        <f>ROUND(PRODUCT(J1424:N1424),2)</f>
        <v>0</v>
      </c>
      <c r="P1424" s="185"/>
      <c r="Q1424" s="185"/>
    </row>
    <row r="1425" spans="1:17" hidden="1" outlineLevel="1">
      <c r="E1425" s="20"/>
      <c r="F1425" s="21"/>
      <c r="G1425" s="22"/>
      <c r="H1425" s="30"/>
      <c r="I1425" s="62"/>
      <c r="J1425" s="37"/>
      <c r="K1425" s="38"/>
      <c r="L1425" s="37"/>
      <c r="M1425" s="38"/>
      <c r="N1425" s="38"/>
      <c r="O1425" s="83"/>
      <c r="P1425" s="185"/>
      <c r="Q1425" s="185"/>
    </row>
    <row r="1426" spans="1:17" hidden="1" outlineLevel="1">
      <c r="A1426" s="2">
        <v>5</v>
      </c>
      <c r="B1426" s="2">
        <v>12</v>
      </c>
      <c r="C1426" s="2">
        <v>3</v>
      </c>
      <c r="D1426" s="2">
        <f>1+D1422</f>
        <v>19</v>
      </c>
      <c r="E1426" s="20" t="str">
        <f>CONCATENATE(A1426,".",B1426,".",C1426,".",D1426)</f>
        <v>5.12.3.19</v>
      </c>
      <c r="F1426" s="21" t="s">
        <v>3334</v>
      </c>
      <c r="G1426" s="22"/>
      <c r="H1426" s="23"/>
      <c r="I1426" s="24" t="s">
        <v>144</v>
      </c>
      <c r="J1426" s="32"/>
      <c r="K1426" s="10"/>
      <c r="L1426" s="32"/>
      <c r="M1426" s="10"/>
      <c r="N1426" s="33"/>
      <c r="O1426" s="11">
        <f>SUM(O1427)</f>
        <v>0</v>
      </c>
      <c r="P1426" s="185"/>
      <c r="Q1426" s="185"/>
    </row>
    <row r="1427" spans="1:17" hidden="1" outlineLevel="1">
      <c r="E1427" s="20"/>
      <c r="F1427" s="21"/>
      <c r="G1427" s="22"/>
      <c r="H1427" s="30"/>
      <c r="I1427" s="62"/>
      <c r="J1427" s="37"/>
      <c r="K1427" s="38"/>
      <c r="L1427" s="37"/>
      <c r="M1427" s="38"/>
      <c r="N1427" s="38"/>
      <c r="O1427" s="58">
        <f>ROUND(PRODUCT(J1427:N1427),2)</f>
        <v>0</v>
      </c>
      <c r="P1427" s="185"/>
      <c r="Q1427" s="185"/>
    </row>
    <row r="1428" spans="1:17" hidden="1" outlineLevel="1">
      <c r="A1428" s="2">
        <v>5</v>
      </c>
      <c r="B1428" s="2">
        <v>12</v>
      </c>
      <c r="C1428" s="2">
        <v>3</v>
      </c>
      <c r="D1428" s="2">
        <f>1+D1426</f>
        <v>20</v>
      </c>
      <c r="E1428" s="20" t="str">
        <f>CONCATENATE(A1428,".",B1428,".",C1428,".",D1428)</f>
        <v>5.12.3.20</v>
      </c>
      <c r="F1428" s="21" t="s">
        <v>3335</v>
      </c>
      <c r="G1428" s="22">
        <v>286</v>
      </c>
      <c r="H1428" s="23" t="s">
        <v>3336</v>
      </c>
      <c r="I1428" s="24" t="s">
        <v>2798</v>
      </c>
      <c r="J1428" s="32"/>
      <c r="K1428" s="10"/>
      <c r="L1428" s="32"/>
      <c r="M1428" s="10"/>
      <c r="N1428" s="33"/>
      <c r="O1428" s="11">
        <f>SUM(O1429)</f>
        <v>18</v>
      </c>
      <c r="P1428" s="128"/>
      <c r="Q1428" s="185"/>
    </row>
    <row r="1429" spans="1:17" hidden="1" outlineLevel="1">
      <c r="E1429" s="20"/>
      <c r="F1429" s="21"/>
      <c r="G1429" s="22"/>
      <c r="H1429" s="30"/>
      <c r="I1429" s="62"/>
      <c r="J1429" s="37"/>
      <c r="K1429" s="38">
        <v>0.5</v>
      </c>
      <c r="L1429" s="37">
        <v>1</v>
      </c>
      <c r="M1429" s="38"/>
      <c r="N1429" s="38">
        <v>36</v>
      </c>
      <c r="O1429" s="58">
        <f>ROUND(PRODUCT(J1429:N1429),2)</f>
        <v>18</v>
      </c>
      <c r="P1429" s="185"/>
      <c r="Q1429" s="185"/>
    </row>
    <row r="1430" spans="1:17" hidden="1" outlineLevel="1">
      <c r="E1430" s="20"/>
      <c r="F1430" s="21"/>
      <c r="G1430" s="22"/>
      <c r="H1430" s="30"/>
      <c r="I1430" s="62"/>
      <c r="J1430" s="37"/>
      <c r="K1430" s="38"/>
      <c r="L1430" s="37"/>
      <c r="M1430" s="38"/>
      <c r="N1430" s="38"/>
      <c r="O1430" s="58">
        <f>ROUND(PRODUCT(J1430:N1430),2)</f>
        <v>0</v>
      </c>
      <c r="P1430" s="185"/>
      <c r="Q1430" s="185"/>
    </row>
    <row r="1431" spans="1:17" hidden="1" outlineLevel="1">
      <c r="E1431" s="20"/>
      <c r="F1431" s="21"/>
      <c r="G1431" s="22"/>
      <c r="H1431" s="30"/>
      <c r="I1431" s="62"/>
      <c r="J1431" s="37"/>
      <c r="K1431" s="38"/>
      <c r="L1431" s="37"/>
      <c r="M1431" s="38"/>
      <c r="N1431" s="38"/>
      <c r="O1431" s="58">
        <f>ROUND(PRODUCT(J1431:N1431),2)</f>
        <v>0</v>
      </c>
      <c r="P1431" s="185"/>
      <c r="Q1431" s="185"/>
    </row>
    <row r="1432" spans="1:17" hidden="1" outlineLevel="1">
      <c r="E1432" s="20"/>
      <c r="F1432" s="21"/>
      <c r="G1432" s="22"/>
      <c r="H1432" s="30"/>
      <c r="I1432" s="62"/>
      <c r="J1432" s="37"/>
      <c r="K1432" s="38"/>
      <c r="L1432" s="37"/>
      <c r="M1432" s="38"/>
      <c r="N1432" s="38"/>
      <c r="O1432" s="58">
        <f>ROUND(PRODUCT(J1432:N1432),2)</f>
        <v>0</v>
      </c>
      <c r="P1432" s="185"/>
      <c r="Q1432" s="185"/>
    </row>
    <row r="1433" spans="1:17" hidden="1" outlineLevel="1">
      <c r="E1433" s="20"/>
      <c r="F1433" s="21"/>
      <c r="G1433" s="22"/>
      <c r="H1433" s="30"/>
      <c r="I1433" s="62"/>
      <c r="J1433" s="37"/>
      <c r="K1433" s="38"/>
      <c r="L1433" s="37"/>
      <c r="M1433" s="38"/>
      <c r="N1433" s="38"/>
      <c r="O1433" s="58">
        <f>ROUND(PRODUCT(J1433:N1433),2)</f>
        <v>0</v>
      </c>
      <c r="P1433" s="185"/>
      <c r="Q1433" s="185"/>
    </row>
    <row r="1434" spans="1:17" ht="30" hidden="1" outlineLevel="1">
      <c r="A1434" s="2">
        <v>5</v>
      </c>
      <c r="B1434" s="2">
        <v>12</v>
      </c>
      <c r="C1434" s="2">
        <v>3</v>
      </c>
      <c r="D1434" s="2">
        <f>1+D1428</f>
        <v>21</v>
      </c>
      <c r="E1434" s="20" t="str">
        <f>CONCATENATE(A1434,".",B1434,".",C1434,".",D1434)</f>
        <v>5.12.3.21</v>
      </c>
      <c r="F1434" s="21" t="s">
        <v>3337</v>
      </c>
      <c r="G1434" s="22">
        <v>376</v>
      </c>
      <c r="H1434" s="23" t="s">
        <v>435</v>
      </c>
      <c r="I1434" s="24" t="s">
        <v>36</v>
      </c>
      <c r="J1434" s="32"/>
      <c r="K1434" s="10"/>
      <c r="L1434" s="32"/>
      <c r="M1434" s="10"/>
      <c r="N1434" s="33"/>
      <c r="O1434" s="11">
        <f>SUM(O1435)</f>
        <v>34</v>
      </c>
      <c r="P1434" s="128"/>
      <c r="Q1434" s="185"/>
    </row>
    <row r="1435" spans="1:17" hidden="1" outlineLevel="1">
      <c r="E1435" s="20"/>
      <c r="F1435" s="21"/>
      <c r="G1435" s="22"/>
      <c r="H1435" s="30"/>
      <c r="I1435" s="62"/>
      <c r="J1435" s="37"/>
      <c r="K1435" s="38"/>
      <c r="L1435" s="37"/>
      <c r="M1435" s="38"/>
      <c r="N1435" s="38">
        <v>34</v>
      </c>
      <c r="O1435" s="58">
        <f>ROUND(PRODUCT(J1435:N1435),2)</f>
        <v>34</v>
      </c>
      <c r="P1435" s="185"/>
      <c r="Q1435" s="185"/>
    </row>
    <row r="1436" spans="1:17" hidden="1" outlineLevel="1">
      <c r="E1436" s="20"/>
      <c r="F1436" s="21"/>
      <c r="G1436" s="22"/>
      <c r="H1436" s="30"/>
      <c r="I1436" s="62"/>
      <c r="J1436" s="37"/>
      <c r="K1436" s="38"/>
      <c r="L1436" s="37"/>
      <c r="M1436" s="38"/>
      <c r="N1436" s="38"/>
      <c r="O1436" s="58"/>
      <c r="P1436" s="185"/>
      <c r="Q1436" s="185"/>
    </row>
    <row r="1437" spans="1:17" hidden="1" outlineLevel="1">
      <c r="E1437" s="20"/>
      <c r="F1437" s="21"/>
      <c r="G1437" s="22"/>
      <c r="H1437" s="30"/>
      <c r="I1437" s="62"/>
      <c r="J1437" s="37"/>
      <c r="K1437" s="38"/>
      <c r="L1437" s="37"/>
      <c r="M1437" s="38"/>
      <c r="N1437" s="38"/>
      <c r="O1437" s="58"/>
      <c r="P1437" s="185"/>
      <c r="Q1437" s="185"/>
    </row>
    <row r="1438" spans="1:17" hidden="1" outlineLevel="1">
      <c r="E1438" s="20"/>
      <c r="F1438" s="21"/>
      <c r="G1438" s="22"/>
      <c r="H1438" s="30"/>
      <c r="I1438" s="62"/>
      <c r="J1438" s="37"/>
      <c r="K1438" s="38"/>
      <c r="L1438" s="37"/>
      <c r="M1438" s="38"/>
      <c r="N1438" s="38"/>
      <c r="O1438" s="58"/>
      <c r="P1438" s="128"/>
      <c r="Q1438" s="185"/>
    </row>
    <row r="1439" spans="1:17" ht="30" hidden="1" outlineLevel="1">
      <c r="A1439" s="2">
        <v>5</v>
      </c>
      <c r="B1439" s="2">
        <v>12</v>
      </c>
      <c r="C1439" s="2">
        <v>3</v>
      </c>
      <c r="D1439" s="2">
        <f>1+D1434</f>
        <v>22</v>
      </c>
      <c r="E1439" s="20" t="str">
        <f>CONCATENATE(A1439,".",B1439,".",C1439,".",D1439)</f>
        <v>5.12.3.22</v>
      </c>
      <c r="F1439" s="21" t="s">
        <v>3338</v>
      </c>
      <c r="G1439" s="22">
        <v>377</v>
      </c>
      <c r="H1439" s="23" t="s">
        <v>3339</v>
      </c>
      <c r="I1439" s="24" t="s">
        <v>36</v>
      </c>
      <c r="J1439" s="32"/>
      <c r="K1439" s="10"/>
      <c r="L1439" s="32"/>
      <c r="M1439" s="10"/>
      <c r="N1439" s="33"/>
      <c r="O1439" s="11">
        <f>SUM(O1440)</f>
        <v>16</v>
      </c>
      <c r="P1439" s="185"/>
      <c r="Q1439" s="185"/>
    </row>
    <row r="1440" spans="1:17" hidden="1" outlineLevel="1">
      <c r="E1440" s="20"/>
      <c r="F1440" s="21"/>
      <c r="G1440" s="22"/>
      <c r="H1440" s="30"/>
      <c r="I1440" s="62"/>
      <c r="J1440" s="37"/>
      <c r="K1440" s="38"/>
      <c r="L1440" s="37"/>
      <c r="M1440" s="38"/>
      <c r="N1440" s="38">
        <v>16</v>
      </c>
      <c r="O1440" s="58">
        <f>ROUND(PRODUCT(J1440:N1440),2)</f>
        <v>16</v>
      </c>
      <c r="P1440" s="185"/>
      <c r="Q1440" s="185"/>
    </row>
    <row r="1441" spans="1:17" hidden="1" outlineLevel="1">
      <c r="E1441" s="20"/>
      <c r="F1441" s="21"/>
      <c r="G1441" s="22"/>
      <c r="H1441" s="30"/>
      <c r="I1441" s="62"/>
      <c r="J1441" s="37"/>
      <c r="K1441" s="38"/>
      <c r="L1441" s="37"/>
      <c r="M1441" s="38"/>
      <c r="N1441" s="38"/>
      <c r="O1441" s="58"/>
      <c r="P1441" s="185"/>
      <c r="Q1441" s="185"/>
    </row>
    <row r="1442" spans="1:17" hidden="1" outlineLevel="1">
      <c r="E1442" s="20"/>
      <c r="F1442" s="21"/>
      <c r="G1442" s="22"/>
      <c r="H1442" s="30"/>
      <c r="I1442" s="62"/>
      <c r="J1442" s="37"/>
      <c r="K1442" s="38"/>
      <c r="L1442" s="37"/>
      <c r="M1442" s="38"/>
      <c r="N1442" s="38"/>
      <c r="O1442" s="58"/>
      <c r="P1442" s="185"/>
      <c r="Q1442" s="185"/>
    </row>
    <row r="1443" spans="1:17" hidden="1" outlineLevel="1">
      <c r="E1443" s="20"/>
      <c r="F1443" s="21"/>
      <c r="G1443" s="22"/>
      <c r="H1443" s="30"/>
      <c r="I1443" s="62"/>
      <c r="J1443" s="37"/>
      <c r="K1443" s="38"/>
      <c r="L1443" s="37"/>
      <c r="M1443" s="38"/>
      <c r="N1443" s="38"/>
      <c r="O1443" s="58"/>
      <c r="P1443" s="185"/>
      <c r="Q1443" s="185"/>
    </row>
    <row r="1444" spans="1:17" hidden="1" outlineLevel="1">
      <c r="A1444" s="2">
        <v>5</v>
      </c>
      <c r="B1444" s="2">
        <v>12</v>
      </c>
      <c r="C1444" s="2">
        <v>3</v>
      </c>
      <c r="D1444" s="2">
        <f>1+D1439</f>
        <v>23</v>
      </c>
      <c r="E1444" s="20" t="str">
        <f>CONCATENATE(A1444,".",B1444,".",C1444,".",D1444)</f>
        <v>5.12.3.23</v>
      </c>
      <c r="F1444" s="21" t="s">
        <v>3340</v>
      </c>
      <c r="G1444" s="22">
        <v>6</v>
      </c>
      <c r="H1444" s="23" t="s">
        <v>3341</v>
      </c>
      <c r="I1444" s="24" t="s">
        <v>36</v>
      </c>
      <c r="J1444" s="32"/>
      <c r="K1444" s="10"/>
      <c r="L1444" s="32"/>
      <c r="M1444" s="10"/>
      <c r="N1444" s="33"/>
      <c r="O1444" s="11">
        <f>SUM(O1445:O1445)</f>
        <v>25</v>
      </c>
      <c r="P1444" s="128"/>
      <c r="Q1444" s="185"/>
    </row>
    <row r="1445" spans="1:17" hidden="1" outlineLevel="1">
      <c r="E1445" s="20"/>
      <c r="F1445" s="21"/>
      <c r="G1445" s="22"/>
      <c r="H1445" s="30"/>
      <c r="I1445" s="62"/>
      <c r="J1445" s="37"/>
      <c r="K1445" s="38"/>
      <c r="L1445" s="37"/>
      <c r="M1445" s="38"/>
      <c r="N1445" s="38">
        <v>25</v>
      </c>
      <c r="O1445" s="58">
        <f>ROUND(PRODUCT(J1445:N1445),2)</f>
        <v>25</v>
      </c>
      <c r="P1445" s="185"/>
      <c r="Q1445" s="185"/>
    </row>
    <row r="1446" spans="1:17" hidden="1" outlineLevel="1">
      <c r="A1446" s="2">
        <v>5</v>
      </c>
      <c r="B1446" s="2">
        <v>12</v>
      </c>
      <c r="C1446" s="2">
        <v>3</v>
      </c>
      <c r="D1446" s="2">
        <f>1+D1444</f>
        <v>24</v>
      </c>
      <c r="E1446" s="20" t="str">
        <f>CONCATENATE(A1446,".",B1446,".",C1446,".",D1446)</f>
        <v>5.12.3.24</v>
      </c>
      <c r="F1446" s="21" t="s">
        <v>3342</v>
      </c>
      <c r="G1446" s="22"/>
      <c r="H1446" s="23"/>
      <c r="I1446" s="24" t="s">
        <v>36</v>
      </c>
      <c r="J1446" s="32"/>
      <c r="K1446" s="10"/>
      <c r="L1446" s="32"/>
      <c r="M1446" s="10"/>
      <c r="N1446" s="33"/>
      <c r="O1446" s="11">
        <f>SUM(O1447:O1448)</f>
        <v>0</v>
      </c>
      <c r="P1446" s="185"/>
      <c r="Q1446" s="185"/>
    </row>
    <row r="1447" spans="1:17" hidden="1" outlineLevel="1">
      <c r="E1447" s="20"/>
      <c r="F1447" s="21"/>
      <c r="G1447" s="22"/>
      <c r="H1447" s="30"/>
      <c r="I1447" s="62"/>
      <c r="J1447" s="37"/>
      <c r="K1447" s="38"/>
      <c r="L1447" s="37"/>
      <c r="M1447" s="38"/>
      <c r="N1447" s="38"/>
      <c r="O1447" s="58">
        <f>ROUND(PRODUCT(J1447:N1447),2)</f>
        <v>0</v>
      </c>
      <c r="P1447" s="185"/>
      <c r="Q1447" s="185"/>
    </row>
    <row r="1448" spans="1:17" hidden="1" outlineLevel="1">
      <c r="E1448" s="20"/>
      <c r="F1448" s="21"/>
      <c r="G1448" s="22"/>
      <c r="H1448" s="30"/>
      <c r="I1448" s="62"/>
      <c r="J1448" s="37"/>
      <c r="K1448" s="38"/>
      <c r="L1448" s="37"/>
      <c r="M1448" s="38"/>
      <c r="N1448" s="38"/>
      <c r="O1448" s="58">
        <f>ROUND(PRODUCT(J1448:N1448),2)</f>
        <v>0</v>
      </c>
      <c r="P1448" s="185"/>
      <c r="Q1448" s="185"/>
    </row>
    <row r="1449" spans="1:17" ht="30" hidden="1" outlineLevel="1">
      <c r="A1449" s="2">
        <v>5</v>
      </c>
      <c r="B1449" s="2">
        <v>12</v>
      </c>
      <c r="C1449" s="2">
        <v>3</v>
      </c>
      <c r="D1449" s="2">
        <f>1+D1446</f>
        <v>25</v>
      </c>
      <c r="E1449" s="20" t="str">
        <f>CONCATENATE(A1449,".",B1449,".",C1449,".",D1449)</f>
        <v>5.12.3.25</v>
      </c>
      <c r="F1449" s="21" t="s">
        <v>3343</v>
      </c>
      <c r="G1449" s="22">
        <v>368</v>
      </c>
      <c r="H1449" s="23" t="s">
        <v>444</v>
      </c>
      <c r="I1449" s="24" t="s">
        <v>36</v>
      </c>
      <c r="J1449" s="32"/>
      <c r="K1449" s="10"/>
      <c r="L1449" s="32"/>
      <c r="M1449" s="10"/>
      <c r="N1449" s="33"/>
      <c r="O1449" s="11">
        <f>SUM(O1450:O1450)</f>
        <v>7</v>
      </c>
      <c r="P1449" s="128"/>
      <c r="Q1449" s="185"/>
    </row>
    <row r="1450" spans="1:17" hidden="1" outlineLevel="1">
      <c r="E1450" s="20"/>
      <c r="F1450" s="21"/>
      <c r="G1450" s="22"/>
      <c r="H1450" s="30"/>
      <c r="I1450" s="62"/>
      <c r="J1450" s="37"/>
      <c r="K1450" s="38"/>
      <c r="L1450" s="37"/>
      <c r="M1450" s="38"/>
      <c r="N1450" s="38">
        <v>7</v>
      </c>
      <c r="O1450" s="58">
        <f>ROUND(PRODUCT(J1450:N1450),2)</f>
        <v>7</v>
      </c>
      <c r="P1450" s="185"/>
      <c r="Q1450" s="185"/>
    </row>
    <row r="1451" spans="1:17" ht="30" hidden="1" outlineLevel="1">
      <c r="A1451" s="2">
        <v>5</v>
      </c>
      <c r="B1451" s="2">
        <v>12</v>
      </c>
      <c r="C1451" s="2">
        <v>3</v>
      </c>
      <c r="D1451" s="2">
        <f>1+D1449</f>
        <v>26</v>
      </c>
      <c r="E1451" s="20" t="str">
        <f>CONCATENATE(A1451,".",B1451,".",C1451,".",D1451)</f>
        <v>5.12.3.26</v>
      </c>
      <c r="F1451" s="21" t="s">
        <v>3344</v>
      </c>
      <c r="G1451" s="22">
        <v>1296</v>
      </c>
      <c r="H1451" s="23" t="s">
        <v>447</v>
      </c>
      <c r="I1451" s="24" t="s">
        <v>36</v>
      </c>
      <c r="J1451" s="32"/>
      <c r="K1451" s="10"/>
      <c r="L1451" s="32"/>
      <c r="M1451" s="10"/>
      <c r="N1451" s="33"/>
      <c r="O1451" s="11">
        <f>SUM(O1452:O1452)</f>
        <v>26</v>
      </c>
      <c r="P1451" s="128"/>
      <c r="Q1451" s="185"/>
    </row>
    <row r="1452" spans="1:17" hidden="1" outlineLevel="1">
      <c r="E1452" s="20"/>
      <c r="F1452" s="21"/>
      <c r="G1452" s="22"/>
      <c r="H1452" s="30"/>
      <c r="I1452" s="62"/>
      <c r="J1452" s="37"/>
      <c r="K1452" s="38"/>
      <c r="L1452" s="37"/>
      <c r="M1452" s="38"/>
      <c r="N1452" s="38">
        <v>26</v>
      </c>
      <c r="O1452" s="58">
        <f>ROUND(PRODUCT(J1452:N1452),2)</f>
        <v>26</v>
      </c>
      <c r="P1452" s="185"/>
      <c r="Q1452" s="185"/>
    </row>
    <row r="1453" spans="1:17" ht="30" hidden="1" outlineLevel="1">
      <c r="A1453" s="2">
        <v>5</v>
      </c>
      <c r="B1453" s="2">
        <v>12</v>
      </c>
      <c r="C1453" s="2">
        <v>3</v>
      </c>
      <c r="D1453" s="2">
        <f>1+D1451</f>
        <v>27</v>
      </c>
      <c r="E1453" s="20" t="str">
        <f>CONCATENATE(A1453,".",B1453,".",C1453,".",D1453)</f>
        <v>5.12.3.27</v>
      </c>
      <c r="F1453" s="21" t="s">
        <v>3345</v>
      </c>
      <c r="G1453" s="22">
        <v>373</v>
      </c>
      <c r="H1453" s="23" t="s">
        <v>450</v>
      </c>
      <c r="I1453" s="24" t="s">
        <v>36</v>
      </c>
      <c r="J1453" s="32"/>
      <c r="K1453" s="10"/>
      <c r="L1453" s="32"/>
      <c r="M1453" s="10"/>
      <c r="N1453" s="33"/>
      <c r="O1453" s="11">
        <f>SUM(O1454)</f>
        <v>7</v>
      </c>
      <c r="P1453" s="128"/>
      <c r="Q1453" s="185"/>
    </row>
    <row r="1454" spans="1:17" hidden="1" outlineLevel="1">
      <c r="E1454" s="20"/>
      <c r="F1454" s="21"/>
      <c r="G1454" s="22"/>
      <c r="H1454" s="30"/>
      <c r="I1454" s="62"/>
      <c r="J1454" s="37"/>
      <c r="K1454" s="38"/>
      <c r="L1454" s="37"/>
      <c r="M1454" s="38"/>
      <c r="N1454" s="38">
        <v>7</v>
      </c>
      <c r="O1454" s="58">
        <f>ROUND(PRODUCT(J1454:N1454),2)</f>
        <v>7</v>
      </c>
      <c r="P1454" s="185"/>
      <c r="Q1454" s="185"/>
    </row>
    <row r="1455" spans="1:17" hidden="1" outlineLevel="1">
      <c r="E1455" s="20"/>
      <c r="F1455" s="21"/>
      <c r="G1455" s="22"/>
      <c r="H1455" s="30"/>
      <c r="I1455" s="62"/>
      <c r="J1455" s="37"/>
      <c r="K1455" s="38"/>
      <c r="L1455" s="37"/>
      <c r="M1455" s="38"/>
      <c r="N1455" s="38"/>
      <c r="O1455" s="58">
        <f>ROUND(PRODUCT(J1455:N1455),2)</f>
        <v>0</v>
      </c>
      <c r="P1455" s="185"/>
      <c r="Q1455" s="185"/>
    </row>
    <row r="1456" spans="1:17" hidden="1" outlineLevel="1">
      <c r="A1456" s="2">
        <v>5</v>
      </c>
      <c r="B1456" s="2">
        <v>12</v>
      </c>
      <c r="C1456" s="2">
        <v>3</v>
      </c>
      <c r="D1456" s="2">
        <f>1+D1453</f>
        <v>28</v>
      </c>
      <c r="E1456" s="20" t="str">
        <f>CONCATENATE(A1456,".",B1456,".",C1456,".",D1456)</f>
        <v>5.12.3.28</v>
      </c>
      <c r="F1456" s="21" t="s">
        <v>3346</v>
      </c>
      <c r="G1456" s="22">
        <v>378</v>
      </c>
      <c r="H1456" s="23" t="s">
        <v>1611</v>
      </c>
      <c r="I1456" s="24" t="s">
        <v>36</v>
      </c>
      <c r="J1456" s="32"/>
      <c r="K1456" s="10"/>
      <c r="L1456" s="32"/>
      <c r="M1456" s="10"/>
      <c r="N1456" s="33"/>
      <c r="O1456" s="11">
        <f>SUM(O1457:O1457)</f>
        <v>38</v>
      </c>
      <c r="P1456" s="128"/>
      <c r="Q1456" s="185"/>
    </row>
    <row r="1457" spans="1:17" hidden="1" outlineLevel="1">
      <c r="E1457" s="20"/>
      <c r="F1457" s="21"/>
      <c r="G1457" s="22"/>
      <c r="H1457" s="30"/>
      <c r="I1457" s="62"/>
      <c r="J1457" s="37"/>
      <c r="K1457" s="38"/>
      <c r="L1457" s="37"/>
      <c r="M1457" s="38"/>
      <c r="N1457" s="38">
        <v>38</v>
      </c>
      <c r="O1457" s="58">
        <f>ROUND(PRODUCT(J1457:N1457),2)</f>
        <v>38</v>
      </c>
      <c r="P1457" s="185"/>
      <c r="Q1457" s="185"/>
    </row>
    <row r="1458" spans="1:17" hidden="1" outlineLevel="1">
      <c r="A1458" s="2">
        <v>5</v>
      </c>
      <c r="B1458" s="2">
        <v>12</v>
      </c>
      <c r="C1458" s="2">
        <v>3</v>
      </c>
      <c r="D1458" s="2">
        <f>1+D1456</f>
        <v>29</v>
      </c>
      <c r="E1458" s="20" t="str">
        <f>CONCATENATE(A1458,".",B1458,".",C1458,".",D1458)</f>
        <v>5.12.3.29</v>
      </c>
      <c r="F1458" s="21" t="s">
        <v>3347</v>
      </c>
      <c r="G1458" s="22">
        <v>379</v>
      </c>
      <c r="H1458" s="23" t="s">
        <v>453</v>
      </c>
      <c r="I1458" s="24" t="s">
        <v>36</v>
      </c>
      <c r="J1458" s="32"/>
      <c r="K1458" s="10"/>
      <c r="L1458" s="32"/>
      <c r="M1458" s="10"/>
      <c r="N1458" s="33"/>
      <c r="O1458" s="11">
        <f>SUM(O1459:O1459)</f>
        <v>34</v>
      </c>
      <c r="P1458" s="128"/>
      <c r="Q1458" s="185"/>
    </row>
    <row r="1459" spans="1:17" hidden="1" outlineLevel="1">
      <c r="E1459" s="20"/>
      <c r="F1459" s="21"/>
      <c r="G1459" s="22"/>
      <c r="H1459" s="30"/>
      <c r="I1459" s="62"/>
      <c r="J1459" s="37"/>
      <c r="K1459" s="38"/>
      <c r="L1459" s="37"/>
      <c r="M1459" s="38"/>
      <c r="N1459" s="38">
        <v>34</v>
      </c>
      <c r="O1459" s="58">
        <f>ROUND(PRODUCT(J1459:N1459),2)</f>
        <v>34</v>
      </c>
      <c r="P1459" s="185"/>
      <c r="Q1459" s="185"/>
    </row>
    <row r="1460" spans="1:17" collapsed="1">
      <c r="E1460" s="52" t="s">
        <v>484</v>
      </c>
      <c r="F1460" s="53" t="s">
        <v>478</v>
      </c>
      <c r="G1460" s="13"/>
      <c r="H1460" s="14" t="s">
        <v>835</v>
      </c>
      <c r="I1460" s="15"/>
      <c r="J1460" s="16"/>
      <c r="K1460" s="17"/>
      <c r="L1460" s="16"/>
      <c r="M1460" s="17"/>
      <c r="N1460" s="18"/>
      <c r="O1460" s="19"/>
      <c r="P1460" s="185"/>
      <c r="Q1460" s="185"/>
    </row>
    <row r="1461" spans="1:17" ht="30" hidden="1" outlineLevel="1">
      <c r="A1461" s="2">
        <v>5</v>
      </c>
      <c r="B1461" s="2">
        <v>12</v>
      </c>
      <c r="C1461" s="2">
        <v>4</v>
      </c>
      <c r="D1461" s="2" t="e">
        <f>1+#REF!</f>
        <v>#REF!</v>
      </c>
      <c r="E1461" s="20" t="e">
        <f>CONCATENATE(A1461,".",B1461,".",C1461,".",D1461)</f>
        <v>#REF!</v>
      </c>
      <c r="F1461" s="21" t="s">
        <v>3348</v>
      </c>
      <c r="G1461" s="22">
        <v>89512</v>
      </c>
      <c r="H1461" s="23" t="s">
        <v>838</v>
      </c>
      <c r="I1461" s="24" t="s">
        <v>144</v>
      </c>
      <c r="J1461" s="32"/>
      <c r="K1461" s="10"/>
      <c r="L1461" s="32"/>
      <c r="M1461" s="10"/>
      <c r="N1461" s="33"/>
      <c r="O1461" s="11">
        <f>SUM(O1462)</f>
        <v>467.02</v>
      </c>
      <c r="P1461" s="185"/>
      <c r="Q1461" s="185"/>
    </row>
    <row r="1462" spans="1:17" hidden="1" outlineLevel="2">
      <c r="E1462" s="20"/>
      <c r="F1462" s="21"/>
      <c r="G1462" s="22"/>
      <c r="H1462" s="30"/>
      <c r="I1462" s="62"/>
      <c r="J1462" s="37"/>
      <c r="K1462" s="38"/>
      <c r="L1462" s="37"/>
      <c r="M1462" s="38"/>
      <c r="N1462" s="38">
        <v>467.02</v>
      </c>
      <c r="O1462" s="58">
        <f>ROUND(PRODUCT(J1462:N1462),2)</f>
        <v>467.02</v>
      </c>
      <c r="P1462" s="185"/>
      <c r="Q1462" s="185"/>
    </row>
    <row r="1463" spans="1:17" ht="30" hidden="1" outlineLevel="1">
      <c r="A1463" s="2">
        <v>5</v>
      </c>
      <c r="B1463" s="2">
        <v>12</v>
      </c>
      <c r="C1463" s="2">
        <v>4</v>
      </c>
      <c r="D1463" s="2" t="e">
        <f>1+D1461</f>
        <v>#REF!</v>
      </c>
      <c r="E1463" s="20" t="e">
        <f>CONCATENATE(A1463,".",B1463,".",C1463,".",D1463)</f>
        <v>#REF!</v>
      </c>
      <c r="F1463" s="21" t="s">
        <v>3349</v>
      </c>
      <c r="G1463" s="22">
        <v>104166</v>
      </c>
      <c r="H1463" s="23" t="s">
        <v>841</v>
      </c>
      <c r="I1463" s="24" t="s">
        <v>144</v>
      </c>
      <c r="J1463" s="32"/>
      <c r="K1463" s="10"/>
      <c r="L1463" s="32"/>
      <c r="M1463" s="10"/>
      <c r="N1463" s="33"/>
      <c r="O1463" s="11">
        <f>SUM(O1464)</f>
        <v>86.65</v>
      </c>
      <c r="P1463" s="185"/>
      <c r="Q1463" s="185"/>
    </row>
    <row r="1464" spans="1:17" hidden="1" outlineLevel="2">
      <c r="E1464" s="20"/>
      <c r="F1464" s="21"/>
      <c r="G1464" s="22"/>
      <c r="H1464" s="30"/>
      <c r="I1464" s="62"/>
      <c r="J1464" s="37"/>
      <c r="K1464" s="38"/>
      <c r="L1464" s="37"/>
      <c r="M1464" s="38"/>
      <c r="N1464" s="38">
        <v>86.65</v>
      </c>
      <c r="O1464" s="58">
        <f>ROUND(PRODUCT(J1464:N1464),2)</f>
        <v>86.65</v>
      </c>
      <c r="P1464" s="185"/>
      <c r="Q1464" s="185"/>
    </row>
    <row r="1465" spans="1:17" ht="30" hidden="1" outlineLevel="1">
      <c r="A1465" s="2">
        <v>5</v>
      </c>
      <c r="B1465" s="2">
        <v>12</v>
      </c>
      <c r="C1465" s="2">
        <v>4</v>
      </c>
      <c r="D1465" s="2" t="e">
        <f>1+#REF!</f>
        <v>#REF!</v>
      </c>
      <c r="E1465" s="20" t="e">
        <f>CONCATENATE(A1465,".",B1465,".",C1465,".",D1465)</f>
        <v>#REF!</v>
      </c>
      <c r="F1465" s="21" t="s">
        <v>3350</v>
      </c>
      <c r="G1465" s="22">
        <v>104178</v>
      </c>
      <c r="H1465" s="23" t="s">
        <v>844</v>
      </c>
      <c r="I1465" s="24" t="s">
        <v>36</v>
      </c>
      <c r="J1465" s="32"/>
      <c r="K1465" s="10"/>
      <c r="L1465" s="32"/>
      <c r="M1465" s="10"/>
      <c r="N1465" s="33"/>
      <c r="O1465" s="11">
        <f>SUM(O1466)</f>
        <v>9</v>
      </c>
      <c r="P1465" s="185"/>
      <c r="Q1465" s="185"/>
    </row>
    <row r="1466" spans="1:17" hidden="1" outlineLevel="2">
      <c r="E1466" s="20"/>
      <c r="F1466" s="21"/>
      <c r="G1466" s="22"/>
      <c r="H1466" s="30"/>
      <c r="I1466" s="62"/>
      <c r="J1466" s="37"/>
      <c r="K1466" s="38"/>
      <c r="L1466" s="37"/>
      <c r="M1466" s="38"/>
      <c r="N1466" s="38">
        <v>9</v>
      </c>
      <c r="O1466" s="58">
        <f>ROUND(PRODUCT(J1466:N1466),2)</f>
        <v>9</v>
      </c>
      <c r="P1466" s="185"/>
      <c r="Q1466" s="185"/>
    </row>
    <row r="1467" spans="1:17" ht="45" hidden="1" outlineLevel="1">
      <c r="A1467" s="2">
        <v>5</v>
      </c>
      <c r="B1467" s="2">
        <v>12</v>
      </c>
      <c r="C1467" s="2">
        <v>4</v>
      </c>
      <c r="D1467" s="2" t="e">
        <f>1+D1465</f>
        <v>#REF!</v>
      </c>
      <c r="E1467" s="20" t="e">
        <f>CONCATENATE(A1467,".",B1467,".",C1467,".",D1467)</f>
        <v>#REF!</v>
      </c>
      <c r="F1467" s="21" t="s">
        <v>3351</v>
      </c>
      <c r="G1467" s="22">
        <v>89587</v>
      </c>
      <c r="H1467" s="23" t="s">
        <v>847</v>
      </c>
      <c r="I1467" s="24" t="s">
        <v>36</v>
      </c>
      <c r="J1467" s="32"/>
      <c r="K1467" s="10"/>
      <c r="L1467" s="32"/>
      <c r="M1467" s="10"/>
      <c r="N1467" s="33"/>
      <c r="O1467" s="11">
        <f>SUM(O1468)</f>
        <v>27</v>
      </c>
      <c r="P1467" s="185"/>
      <c r="Q1467" s="185"/>
    </row>
    <row r="1468" spans="1:17" hidden="1" outlineLevel="2">
      <c r="E1468" s="20"/>
      <c r="F1468" s="21"/>
      <c r="G1468" s="22"/>
      <c r="H1468" s="30"/>
      <c r="I1468" s="62"/>
      <c r="J1468" s="37"/>
      <c r="K1468" s="38"/>
      <c r="L1468" s="37"/>
      <c r="M1468" s="38"/>
      <c r="N1468" s="38">
        <v>27</v>
      </c>
      <c r="O1468" s="58">
        <f>ROUND(PRODUCT(J1468:N1468),2)</f>
        <v>27</v>
      </c>
      <c r="P1468" s="185"/>
      <c r="Q1468" s="185"/>
    </row>
    <row r="1469" spans="1:17" ht="45" hidden="1" outlineLevel="1">
      <c r="A1469" s="2">
        <v>5</v>
      </c>
      <c r="B1469" s="2">
        <v>12</v>
      </c>
      <c r="C1469" s="2">
        <v>4</v>
      </c>
      <c r="D1469" s="2" t="e">
        <f>1+D1467</f>
        <v>#REF!</v>
      </c>
      <c r="E1469" s="20" t="e">
        <f>CONCATENATE(A1469,".",B1469,".",C1469,".",D1469)</f>
        <v>#REF!</v>
      </c>
      <c r="F1469" s="21" t="s">
        <v>3352</v>
      </c>
      <c r="G1469" s="22">
        <v>89592</v>
      </c>
      <c r="H1469" s="23" t="s">
        <v>850</v>
      </c>
      <c r="I1469" s="24" t="s">
        <v>36</v>
      </c>
      <c r="J1469" s="32"/>
      <c r="K1469" s="10"/>
      <c r="L1469" s="32"/>
      <c r="M1469" s="10"/>
      <c r="N1469" s="33"/>
      <c r="O1469" s="11">
        <f>SUM(O1470)</f>
        <v>1</v>
      </c>
      <c r="P1469" s="185"/>
      <c r="Q1469" s="185"/>
    </row>
    <row r="1470" spans="1:17" hidden="1" outlineLevel="2">
      <c r="E1470" s="20"/>
      <c r="F1470" s="21"/>
      <c r="G1470" s="22"/>
      <c r="H1470" s="30"/>
      <c r="I1470" s="62"/>
      <c r="J1470" s="37"/>
      <c r="K1470" s="38"/>
      <c r="L1470" s="37"/>
      <c r="M1470" s="38"/>
      <c r="N1470" s="38">
        <v>1</v>
      </c>
      <c r="O1470" s="58">
        <f>ROUND(PRODUCT(J1470:N1470),2)</f>
        <v>1</v>
      </c>
      <c r="P1470" s="185"/>
      <c r="Q1470" s="185"/>
    </row>
    <row r="1471" spans="1:17" ht="45" hidden="1" outlineLevel="1">
      <c r="A1471" s="2">
        <v>5</v>
      </c>
      <c r="B1471" s="2">
        <v>12</v>
      </c>
      <c r="C1471" s="2">
        <v>4</v>
      </c>
      <c r="D1471" s="2" t="e">
        <f>1+D1469</f>
        <v>#REF!</v>
      </c>
      <c r="E1471" s="20" t="e">
        <f>CONCATENATE(A1471,".",B1471,".",C1471,".",D1471)</f>
        <v>#REF!</v>
      </c>
      <c r="F1471" s="21" t="s">
        <v>3353</v>
      </c>
      <c r="G1471" s="22">
        <v>89585</v>
      </c>
      <c r="H1471" s="23" t="s">
        <v>853</v>
      </c>
      <c r="I1471" s="24" t="s">
        <v>36</v>
      </c>
      <c r="J1471" s="32"/>
      <c r="K1471" s="10"/>
      <c r="L1471" s="32"/>
      <c r="M1471" s="10"/>
      <c r="N1471" s="33"/>
      <c r="O1471" s="11">
        <f>SUM(O1472)</f>
        <v>46</v>
      </c>
      <c r="P1471" s="185"/>
      <c r="Q1471" s="185"/>
    </row>
    <row r="1472" spans="1:17" hidden="1" outlineLevel="2">
      <c r="E1472" s="20"/>
      <c r="F1472" s="21"/>
      <c r="G1472" s="22"/>
      <c r="H1472" s="30"/>
      <c r="I1472" s="62"/>
      <c r="J1472" s="37"/>
      <c r="K1472" s="38"/>
      <c r="L1472" s="37"/>
      <c r="M1472" s="38"/>
      <c r="N1472" s="38">
        <v>46</v>
      </c>
      <c r="O1472" s="58">
        <f>ROUND(PRODUCT(J1472:N1472),2)</f>
        <v>46</v>
      </c>
      <c r="P1472" s="185"/>
      <c r="Q1472" s="185"/>
    </row>
    <row r="1473" spans="1:17" ht="30" hidden="1" outlineLevel="1">
      <c r="A1473" s="2">
        <v>5</v>
      </c>
      <c r="B1473" s="2">
        <v>12</v>
      </c>
      <c r="C1473" s="2">
        <v>4</v>
      </c>
      <c r="D1473" s="2" t="e">
        <f>1+D1471</f>
        <v>#REF!</v>
      </c>
      <c r="E1473" s="20" t="e">
        <f>CONCATENATE(A1473,".",B1473,".",C1473,".",D1473)</f>
        <v>#REF!</v>
      </c>
      <c r="F1473" s="21" t="s">
        <v>3354</v>
      </c>
      <c r="G1473" s="22">
        <v>1127</v>
      </c>
      <c r="H1473" s="23" t="s">
        <v>856</v>
      </c>
      <c r="I1473" s="24" t="s">
        <v>36</v>
      </c>
      <c r="J1473" s="32"/>
      <c r="K1473" s="10"/>
      <c r="L1473" s="32"/>
      <c r="M1473" s="10"/>
      <c r="N1473" s="33"/>
      <c r="O1473" s="11">
        <f>SUM(O1474)</f>
        <v>52</v>
      </c>
      <c r="P1473" s="185"/>
      <c r="Q1473" s="185"/>
    </row>
    <row r="1474" spans="1:17" hidden="1" outlineLevel="2">
      <c r="E1474" s="20"/>
      <c r="F1474" s="21"/>
      <c r="G1474" s="22"/>
      <c r="H1474" s="30"/>
      <c r="I1474" s="62"/>
      <c r="J1474" s="37"/>
      <c r="K1474" s="38"/>
      <c r="L1474" s="37"/>
      <c r="M1474" s="38"/>
      <c r="N1474" s="38">
        <v>52</v>
      </c>
      <c r="O1474" s="58">
        <f>ROUND(PRODUCT(J1474:N1474),2)</f>
        <v>52</v>
      </c>
      <c r="P1474" s="185"/>
      <c r="Q1474" s="185"/>
    </row>
    <row r="1475" spans="1:17" ht="30" hidden="1" outlineLevel="1">
      <c r="A1475" s="2">
        <v>5</v>
      </c>
      <c r="B1475" s="2">
        <v>12</v>
      </c>
      <c r="C1475" s="2">
        <v>4</v>
      </c>
      <c r="D1475" s="2" t="e">
        <f>1+#REF!</f>
        <v>#REF!</v>
      </c>
      <c r="E1475" s="20" t="e">
        <f>CONCATENATE(A1475,".",B1475,".",C1475,".",D1475)</f>
        <v>#REF!</v>
      </c>
      <c r="F1475" s="21" t="s">
        <v>3355</v>
      </c>
      <c r="G1475" s="22">
        <v>89529</v>
      </c>
      <c r="H1475" s="23" t="s">
        <v>859</v>
      </c>
      <c r="I1475" s="24" t="s">
        <v>36</v>
      </c>
      <c r="J1475" s="32"/>
      <c r="K1475" s="10"/>
      <c r="L1475" s="32"/>
      <c r="M1475" s="10"/>
      <c r="N1475" s="33"/>
      <c r="O1475" s="11">
        <f>SUM(O1476)</f>
        <v>39</v>
      </c>
      <c r="P1475" s="185"/>
      <c r="Q1475" s="185"/>
    </row>
    <row r="1476" spans="1:17" hidden="1" outlineLevel="2">
      <c r="E1476" s="20"/>
      <c r="F1476" s="21"/>
      <c r="G1476" s="22"/>
      <c r="H1476" s="30"/>
      <c r="I1476" s="62"/>
      <c r="J1476" s="37"/>
      <c r="K1476" s="38"/>
      <c r="L1476" s="37"/>
      <c r="M1476" s="38"/>
      <c r="N1476" s="38">
        <v>39</v>
      </c>
      <c r="O1476" s="58">
        <f>ROUND(PRODUCT(J1476:N1476),2)</f>
        <v>39</v>
      </c>
      <c r="P1476" s="185"/>
      <c r="Q1476" s="185"/>
    </row>
    <row r="1477" spans="1:17" ht="30" hidden="1" outlineLevel="1">
      <c r="A1477" s="2">
        <v>5</v>
      </c>
      <c r="B1477" s="2">
        <v>12</v>
      </c>
      <c r="C1477" s="2">
        <v>4</v>
      </c>
      <c r="D1477" s="2" t="e">
        <f>1+D1475</f>
        <v>#REF!</v>
      </c>
      <c r="E1477" s="20" t="e">
        <f>CONCATENATE(A1477,".",B1477,".",C1477,".",D1477)</f>
        <v>#REF!</v>
      </c>
      <c r="F1477" s="21" t="s">
        <v>3356</v>
      </c>
      <c r="G1477" s="22">
        <v>104167</v>
      </c>
      <c r="H1477" s="23" t="s">
        <v>862</v>
      </c>
      <c r="I1477" s="24" t="s">
        <v>36</v>
      </c>
      <c r="J1477" s="32"/>
      <c r="K1477" s="10"/>
      <c r="L1477" s="32"/>
      <c r="M1477" s="10"/>
      <c r="N1477" s="33"/>
      <c r="O1477" s="11">
        <f>SUM(O1478)</f>
        <v>3</v>
      </c>
      <c r="P1477" s="185"/>
      <c r="Q1477" s="185"/>
    </row>
    <row r="1478" spans="1:17" hidden="1" outlineLevel="2">
      <c r="E1478" s="20"/>
      <c r="F1478" s="21"/>
      <c r="G1478" s="22"/>
      <c r="H1478" s="30"/>
      <c r="I1478" s="62"/>
      <c r="J1478" s="37"/>
      <c r="K1478" s="38"/>
      <c r="L1478" s="37"/>
      <c r="M1478" s="38"/>
      <c r="N1478" s="38">
        <v>3</v>
      </c>
      <c r="O1478" s="58">
        <f>ROUND(PRODUCT(J1478:N1478),2)</f>
        <v>3</v>
      </c>
      <c r="P1478" s="185"/>
      <c r="Q1478" s="185"/>
    </row>
    <row r="1479" spans="1:17" hidden="1" outlineLevel="1">
      <c r="A1479" s="2">
        <v>5</v>
      </c>
      <c r="B1479" s="2">
        <v>12</v>
      </c>
      <c r="C1479" s="2">
        <v>4</v>
      </c>
      <c r="D1479" s="2" t="e">
        <f>1+#REF!</f>
        <v>#REF!</v>
      </c>
      <c r="E1479" s="20" t="e">
        <f>CONCATENATE(A1479,".",B1479,".",C1479,".",D1479)</f>
        <v>#REF!</v>
      </c>
      <c r="F1479" s="21" t="s">
        <v>3357</v>
      </c>
      <c r="G1479" s="22" t="s">
        <v>3358</v>
      </c>
      <c r="H1479" s="23" t="s">
        <v>865</v>
      </c>
      <c r="I1479" s="24" t="s">
        <v>36</v>
      </c>
      <c r="J1479" s="32"/>
      <c r="K1479" s="10"/>
      <c r="L1479" s="32"/>
      <c r="M1479" s="10"/>
      <c r="N1479" s="33"/>
      <c r="O1479" s="11">
        <f>SUM(O1480)</f>
        <v>20</v>
      </c>
      <c r="P1479" s="185"/>
      <c r="Q1479" s="185"/>
    </row>
    <row r="1480" spans="1:17" hidden="1" outlineLevel="2">
      <c r="E1480" s="20"/>
      <c r="F1480" s="21"/>
      <c r="G1480" s="22"/>
      <c r="H1480" s="30"/>
      <c r="I1480" s="62"/>
      <c r="J1480" s="37"/>
      <c r="K1480" s="38"/>
      <c r="L1480" s="37"/>
      <c r="M1480" s="38"/>
      <c r="N1480" s="38">
        <v>20</v>
      </c>
      <c r="O1480" s="58">
        <f>ROUND(PRODUCT(J1480:N1480),2)</f>
        <v>20</v>
      </c>
      <c r="P1480" s="185"/>
      <c r="Q1480" s="185"/>
    </row>
    <row r="1481" spans="1:17" ht="30" hidden="1" outlineLevel="1">
      <c r="A1481" s="2">
        <v>5</v>
      </c>
      <c r="B1481" s="2">
        <v>12</v>
      </c>
      <c r="C1481" s="2">
        <v>4</v>
      </c>
      <c r="D1481" s="2" t="e">
        <f>1+D1479</f>
        <v>#REF!</v>
      </c>
      <c r="E1481" s="20" t="e">
        <f>CONCATENATE(A1481,".",B1481,".",C1481,".",D1481)</f>
        <v>#REF!</v>
      </c>
      <c r="F1481" s="21" t="s">
        <v>3359</v>
      </c>
      <c r="G1481" s="22">
        <v>339</v>
      </c>
      <c r="H1481" s="23" t="s">
        <v>3360</v>
      </c>
      <c r="I1481" s="24"/>
      <c r="J1481" s="32"/>
      <c r="K1481" s="10"/>
      <c r="L1481" s="32"/>
      <c r="M1481" s="10"/>
      <c r="N1481" s="33"/>
      <c r="O1481" s="11">
        <f>SUM(O1482)</f>
        <v>4</v>
      </c>
      <c r="P1481" s="185"/>
      <c r="Q1481" s="185"/>
    </row>
    <row r="1482" spans="1:17" hidden="1" outlineLevel="2">
      <c r="E1482" s="20"/>
      <c r="F1482" s="21"/>
      <c r="G1482" s="22"/>
      <c r="H1482" s="30"/>
      <c r="I1482" s="62"/>
      <c r="J1482" s="37"/>
      <c r="K1482" s="38"/>
      <c r="L1482" s="37"/>
      <c r="M1482" s="38"/>
      <c r="N1482" s="38">
        <v>4</v>
      </c>
      <c r="O1482" s="58">
        <f>ROUND(PRODUCT(J1482:N1482),2)</f>
        <v>4</v>
      </c>
      <c r="P1482" s="185"/>
      <c r="Q1482" s="185"/>
    </row>
    <row r="1483" spans="1:17" ht="30" hidden="1" outlineLevel="1">
      <c r="A1483" s="2">
        <v>5</v>
      </c>
      <c r="B1483" s="2">
        <v>12</v>
      </c>
      <c r="C1483" s="2">
        <v>4</v>
      </c>
      <c r="D1483" s="2" t="e">
        <f>1+#REF!</f>
        <v>#REF!</v>
      </c>
      <c r="E1483" s="20" t="e">
        <f>CONCATENATE(A1483,".",B1483,".",C1483,".",D1483)</f>
        <v>#REF!</v>
      </c>
      <c r="F1483" s="21" t="s">
        <v>3361</v>
      </c>
      <c r="G1483" s="22">
        <v>89567</v>
      </c>
      <c r="H1483" s="23" t="s">
        <v>871</v>
      </c>
      <c r="I1483" s="24" t="s">
        <v>36</v>
      </c>
      <c r="J1483" s="32"/>
      <c r="K1483" s="10"/>
      <c r="L1483" s="32"/>
      <c r="M1483" s="10"/>
      <c r="N1483" s="33"/>
      <c r="O1483" s="11">
        <f>SUM(O1484)</f>
        <v>32</v>
      </c>
      <c r="P1483" s="185"/>
      <c r="Q1483" s="185"/>
    </row>
    <row r="1484" spans="1:17" hidden="1" outlineLevel="2">
      <c r="E1484" s="20"/>
      <c r="F1484" s="21"/>
      <c r="G1484" s="22"/>
      <c r="H1484" s="30"/>
      <c r="I1484" s="62"/>
      <c r="J1484" s="37"/>
      <c r="K1484" s="38"/>
      <c r="L1484" s="37"/>
      <c r="M1484" s="38"/>
      <c r="N1484" s="38">
        <v>32</v>
      </c>
      <c r="O1484" s="58">
        <f>ROUND(PRODUCT(J1484:N1484),2)</f>
        <v>32</v>
      </c>
      <c r="P1484" s="185"/>
      <c r="Q1484" s="185"/>
    </row>
    <row r="1485" spans="1:17" ht="30" hidden="1" outlineLevel="1">
      <c r="A1485" s="2">
        <v>5</v>
      </c>
      <c r="B1485" s="2">
        <v>12</v>
      </c>
      <c r="C1485" s="2">
        <v>4</v>
      </c>
      <c r="D1485" s="2" t="e">
        <f>1+D1483</f>
        <v>#REF!</v>
      </c>
      <c r="E1485" s="20" t="e">
        <f>CONCATENATE(A1485,".",B1485,".",C1485,".",D1485)</f>
        <v>#REF!</v>
      </c>
      <c r="F1485" s="21" t="s">
        <v>3362</v>
      </c>
      <c r="G1485" s="22">
        <v>103007</v>
      </c>
      <c r="H1485" s="23" t="s">
        <v>874</v>
      </c>
      <c r="I1485" s="24" t="s">
        <v>36</v>
      </c>
      <c r="J1485" s="32"/>
      <c r="K1485" s="10"/>
      <c r="L1485" s="32"/>
      <c r="M1485" s="10"/>
      <c r="N1485" s="33"/>
      <c r="O1485" s="11">
        <f>SUM(O1486)</f>
        <v>2</v>
      </c>
      <c r="P1485" s="185"/>
      <c r="Q1485" s="185"/>
    </row>
    <row r="1486" spans="1:17" hidden="1" outlineLevel="2">
      <c r="E1486" s="20"/>
      <c r="F1486" s="21"/>
      <c r="G1486" s="22"/>
      <c r="H1486" s="30"/>
      <c r="I1486" s="62"/>
      <c r="J1486" s="37"/>
      <c r="K1486" s="38"/>
      <c r="L1486" s="37"/>
      <c r="M1486" s="38"/>
      <c r="N1486" s="38">
        <v>2</v>
      </c>
      <c r="O1486" s="58">
        <f>ROUND(PRODUCT(J1486:N1486),2)</f>
        <v>2</v>
      </c>
      <c r="P1486" s="185"/>
      <c r="Q1486" s="185"/>
    </row>
    <row r="1487" spans="1:17" collapsed="1">
      <c r="E1487" s="44" t="s">
        <v>699</v>
      </c>
      <c r="F1487" s="45" t="s">
        <v>699</v>
      </c>
      <c r="G1487" s="13"/>
      <c r="H1487" s="14" t="s">
        <v>2022</v>
      </c>
      <c r="I1487" s="15"/>
      <c r="J1487" s="16"/>
      <c r="K1487" s="17"/>
      <c r="L1487" s="16"/>
      <c r="M1487" s="17"/>
      <c r="N1487" s="18"/>
      <c r="O1487" s="19"/>
    </row>
    <row r="1488" spans="1:17" ht="30" hidden="1" outlineLevel="1">
      <c r="A1488" s="2">
        <v>5</v>
      </c>
      <c r="B1488" s="2">
        <v>13</v>
      </c>
      <c r="C1488" s="2">
        <v>1</v>
      </c>
      <c r="E1488" s="20" t="str">
        <f>CONCATENATE(A1488,".",B1488,".",C1488)</f>
        <v>5.13.1</v>
      </c>
      <c r="F1488" s="21" t="s">
        <v>3363</v>
      </c>
      <c r="G1488" s="22" t="s">
        <v>2024</v>
      </c>
      <c r="H1488" s="23" t="s">
        <v>2025</v>
      </c>
      <c r="I1488" s="24" t="s">
        <v>36</v>
      </c>
      <c r="J1488" s="32"/>
      <c r="K1488" s="10"/>
      <c r="L1488" s="32"/>
      <c r="M1488" s="10"/>
      <c r="N1488" s="33"/>
      <c r="O1488" s="11">
        <f>SUM(O1489)</f>
        <v>1</v>
      </c>
    </row>
    <row r="1489" spans="1:17" hidden="1" outlineLevel="2">
      <c r="E1489" s="20"/>
      <c r="F1489" s="21"/>
      <c r="G1489" s="22"/>
      <c r="H1489" s="30"/>
      <c r="I1489" s="62"/>
      <c r="J1489" s="37"/>
      <c r="K1489" s="38"/>
      <c r="L1489" s="37"/>
      <c r="M1489" s="38"/>
      <c r="N1489" s="38">
        <v>1</v>
      </c>
      <c r="O1489" s="58">
        <f>ROUND(PRODUCT(J1489:N1489),2)</f>
        <v>1</v>
      </c>
      <c r="P1489" s="185"/>
      <c r="Q1489" s="185"/>
    </row>
    <row r="1490" spans="1:17" ht="30" hidden="1" outlineLevel="1">
      <c r="A1490" s="2">
        <v>5</v>
      </c>
      <c r="B1490" s="2">
        <v>13</v>
      </c>
      <c r="C1490" s="2">
        <f>1+C1488</f>
        <v>2</v>
      </c>
      <c r="E1490" s="20" t="str">
        <f>CONCATENATE(A1490,".",B1490,".",C1490)</f>
        <v>5.13.2</v>
      </c>
      <c r="F1490" s="21" t="s">
        <v>3364</v>
      </c>
      <c r="G1490" s="22" t="s">
        <v>2027</v>
      </c>
      <c r="H1490" s="23" t="s">
        <v>2028</v>
      </c>
      <c r="I1490" s="24" t="s">
        <v>36</v>
      </c>
      <c r="J1490" s="32"/>
      <c r="K1490" s="10"/>
      <c r="L1490" s="32"/>
      <c r="M1490" s="10"/>
      <c r="N1490" s="33"/>
      <c r="O1490" s="11">
        <f>SUM(O1491)</f>
        <v>14</v>
      </c>
    </row>
    <row r="1491" spans="1:17" hidden="1" outlineLevel="2">
      <c r="E1491" s="20"/>
      <c r="F1491" s="21"/>
      <c r="G1491" s="22"/>
      <c r="H1491" s="30"/>
      <c r="I1491" s="62"/>
      <c r="J1491" s="37"/>
      <c r="K1491" s="38"/>
      <c r="L1491" s="37"/>
      <c r="M1491" s="38"/>
      <c r="N1491" s="38">
        <f>8+6</f>
        <v>14</v>
      </c>
      <c r="O1491" s="58">
        <f>ROUND(PRODUCT(J1491:N1491),2)</f>
        <v>14</v>
      </c>
      <c r="P1491" s="185"/>
      <c r="Q1491" s="185"/>
    </row>
    <row r="1492" spans="1:17" ht="30" hidden="1" outlineLevel="1">
      <c r="A1492" s="2">
        <v>5</v>
      </c>
      <c r="B1492" s="2">
        <v>13</v>
      </c>
      <c r="C1492" s="2">
        <f>1+C1490</f>
        <v>3</v>
      </c>
      <c r="E1492" s="20" t="str">
        <f>CONCATENATE(A1492,".",B1492,".",C1492)</f>
        <v>5.13.3</v>
      </c>
      <c r="F1492" s="21" t="s">
        <v>3365</v>
      </c>
      <c r="G1492" s="22">
        <v>97599</v>
      </c>
      <c r="H1492" s="23" t="s">
        <v>2031</v>
      </c>
      <c r="I1492" s="24" t="s">
        <v>36</v>
      </c>
      <c r="J1492" s="32"/>
      <c r="K1492" s="10"/>
      <c r="L1492" s="32"/>
      <c r="M1492" s="10"/>
      <c r="N1492" s="33"/>
      <c r="O1492" s="11">
        <f>SUM(O1493)</f>
        <v>112</v>
      </c>
    </row>
    <row r="1493" spans="1:17" hidden="1" outlineLevel="2">
      <c r="E1493" s="20"/>
      <c r="F1493" s="21"/>
      <c r="G1493" s="22"/>
      <c r="H1493" s="30"/>
      <c r="I1493" s="62"/>
      <c r="J1493" s="37"/>
      <c r="K1493" s="38"/>
      <c r="L1493" s="37"/>
      <c r="M1493" s="38"/>
      <c r="N1493" s="38">
        <f>66+46</f>
        <v>112</v>
      </c>
      <c r="O1493" s="58">
        <f>ROUND(PRODUCT(J1493:N1493),2)</f>
        <v>112</v>
      </c>
      <c r="P1493" s="185"/>
      <c r="Q1493" s="185"/>
    </row>
    <row r="1494" spans="1:17" ht="30" hidden="1" outlineLevel="1">
      <c r="A1494" s="2">
        <v>5</v>
      </c>
      <c r="B1494" s="2">
        <v>13</v>
      </c>
      <c r="C1494" s="2">
        <f>1+C1492</f>
        <v>4</v>
      </c>
      <c r="E1494" s="20" t="str">
        <f>CONCATENATE(A1494,".",B1494,".",C1494)</f>
        <v>5.13.4</v>
      </c>
      <c r="F1494" s="21" t="s">
        <v>3366</v>
      </c>
      <c r="G1494" s="22">
        <v>1131</v>
      </c>
      <c r="H1494" s="23" t="s">
        <v>2034</v>
      </c>
      <c r="I1494" s="24" t="s">
        <v>36</v>
      </c>
      <c r="J1494" s="32"/>
      <c r="K1494" s="10"/>
      <c r="L1494" s="32"/>
      <c r="M1494" s="10"/>
      <c r="N1494" s="33"/>
      <c r="O1494" s="11">
        <f>SUM(O1495)</f>
        <v>61</v>
      </c>
      <c r="P1494" s="185"/>
      <c r="Q1494" s="185"/>
    </row>
    <row r="1495" spans="1:17" hidden="1" outlineLevel="2">
      <c r="E1495" s="20"/>
      <c r="F1495" s="21"/>
      <c r="G1495" s="22"/>
      <c r="H1495" s="30"/>
      <c r="I1495" s="62"/>
      <c r="J1495" s="37"/>
      <c r="K1495" s="38"/>
      <c r="L1495" s="37"/>
      <c r="M1495" s="38"/>
      <c r="N1495" s="38">
        <f>6+26+1+1+20+3+4</f>
        <v>61</v>
      </c>
      <c r="O1495" s="58">
        <f>ROUND(PRODUCT(J1495:N1495),2)</f>
        <v>61</v>
      </c>
      <c r="P1495" s="185"/>
      <c r="Q1495" s="185"/>
    </row>
    <row r="1496" spans="1:17" ht="45" hidden="1" outlineLevel="1">
      <c r="A1496" s="2">
        <v>5</v>
      </c>
      <c r="B1496" s="2">
        <v>13</v>
      </c>
      <c r="C1496" s="2">
        <f>1+C1494</f>
        <v>5</v>
      </c>
      <c r="E1496" s="20" t="str">
        <f>CONCATENATE(A1496,".",B1496,".",C1496)</f>
        <v>5.13.5</v>
      </c>
      <c r="F1496" s="21" t="s">
        <v>3367</v>
      </c>
      <c r="G1496" s="22">
        <v>1133</v>
      </c>
      <c r="H1496" s="23" t="s">
        <v>2037</v>
      </c>
      <c r="I1496" s="24" t="s">
        <v>36</v>
      </c>
      <c r="J1496" s="32"/>
      <c r="K1496" s="10"/>
      <c r="L1496" s="32"/>
      <c r="M1496" s="10"/>
      <c r="N1496" s="33"/>
      <c r="O1496" s="11">
        <f>SUM(O1497)</f>
        <v>11</v>
      </c>
      <c r="P1496" s="185"/>
      <c r="Q1496" s="185"/>
    </row>
    <row r="1497" spans="1:17" hidden="1" outlineLevel="2">
      <c r="E1497" s="20"/>
      <c r="F1497" s="21"/>
      <c r="G1497" s="22"/>
      <c r="H1497" s="30"/>
      <c r="I1497" s="62"/>
      <c r="J1497" s="37"/>
      <c r="K1497" s="38"/>
      <c r="L1497" s="37"/>
      <c r="M1497" s="38"/>
      <c r="N1497" s="38">
        <f>7+4</f>
        <v>11</v>
      </c>
      <c r="O1497" s="58">
        <f>ROUND(PRODUCT(J1497:N1497),2)</f>
        <v>11</v>
      </c>
      <c r="P1497" s="185"/>
      <c r="Q1497" s="185"/>
    </row>
    <row r="1498" spans="1:17" hidden="1" outlineLevel="1">
      <c r="A1498" s="2">
        <v>5</v>
      </c>
      <c r="B1498" s="2">
        <v>13</v>
      </c>
      <c r="C1498" s="2">
        <f>1+C1496</f>
        <v>6</v>
      </c>
      <c r="E1498" s="20" t="str">
        <f>CONCATENATE(A1498,".",B1498,".",C1498)</f>
        <v>5.13.6</v>
      </c>
      <c r="F1498" s="21" t="s">
        <v>3368</v>
      </c>
      <c r="G1498" s="22">
        <v>1137</v>
      </c>
      <c r="H1498" s="23" t="s">
        <v>2040</v>
      </c>
      <c r="I1498" s="24" t="s">
        <v>144</v>
      </c>
      <c r="J1498" s="32"/>
      <c r="K1498" s="10"/>
      <c r="L1498" s="32"/>
      <c r="M1498" s="10"/>
      <c r="N1498" s="33"/>
      <c r="O1498" s="11">
        <f>SUM(O1499)</f>
        <v>384.13</v>
      </c>
      <c r="P1498" s="185"/>
      <c r="Q1498" s="185"/>
    </row>
    <row r="1499" spans="1:17" hidden="1" outlineLevel="2">
      <c r="E1499" s="20"/>
      <c r="F1499" s="21"/>
      <c r="G1499" s="22"/>
      <c r="H1499" s="30"/>
      <c r="I1499" s="62"/>
      <c r="J1499" s="37"/>
      <c r="K1499" s="38"/>
      <c r="L1499" s="37"/>
      <c r="M1499" s="38"/>
      <c r="N1499" s="38">
        <f>309.33+74.8</f>
        <v>384.13</v>
      </c>
      <c r="O1499" s="58">
        <f>ROUND(PRODUCT(J1499:N1499),2)</f>
        <v>384.13</v>
      </c>
      <c r="P1499" s="185"/>
      <c r="Q1499" s="185"/>
    </row>
    <row r="1500" spans="1:17" ht="30" hidden="1" outlineLevel="1">
      <c r="A1500" s="2">
        <v>5</v>
      </c>
      <c r="B1500" s="2">
        <v>13</v>
      </c>
      <c r="C1500" s="2">
        <f>1+C1498</f>
        <v>7</v>
      </c>
      <c r="E1500" s="20" t="str">
        <f>CONCATENATE(A1500,".",B1500,".",C1500)</f>
        <v>5.13.7</v>
      </c>
      <c r="F1500" s="21" t="s">
        <v>3369</v>
      </c>
      <c r="G1500" s="22">
        <v>95795</v>
      </c>
      <c r="H1500" s="23" t="s">
        <v>2043</v>
      </c>
      <c r="I1500" s="24" t="s">
        <v>36</v>
      </c>
      <c r="J1500" s="32"/>
      <c r="K1500" s="10"/>
      <c r="L1500" s="32"/>
      <c r="M1500" s="10"/>
      <c r="N1500" s="33"/>
      <c r="O1500" s="11">
        <f>SUM(O1501:O1501)</f>
        <v>30</v>
      </c>
      <c r="P1500" s="185"/>
      <c r="Q1500" s="185"/>
    </row>
    <row r="1501" spans="1:17" hidden="1" outlineLevel="2">
      <c r="E1501" s="20"/>
      <c r="F1501" s="21"/>
      <c r="G1501" s="22"/>
      <c r="H1501" s="30"/>
      <c r="I1501" s="62"/>
      <c r="J1501" s="37"/>
      <c r="K1501" s="38"/>
      <c r="L1501" s="37"/>
      <c r="M1501" s="38"/>
      <c r="N1501" s="38">
        <v>30</v>
      </c>
      <c r="O1501" s="58">
        <f>ROUND(PRODUCT(J1501:N1501),2)</f>
        <v>30</v>
      </c>
      <c r="P1501" s="185"/>
      <c r="Q1501" s="185"/>
    </row>
    <row r="1502" spans="1:17" collapsed="1">
      <c r="E1502" s="44" t="s">
        <v>3370</v>
      </c>
      <c r="F1502" s="108" t="s">
        <v>3370</v>
      </c>
      <c r="G1502" s="98"/>
      <c r="H1502" s="99" t="s">
        <v>3371</v>
      </c>
      <c r="I1502" s="15"/>
      <c r="J1502" s="16"/>
      <c r="K1502" s="17"/>
      <c r="L1502" s="16"/>
      <c r="M1502" s="17"/>
      <c r="N1502" s="18"/>
      <c r="O1502" s="19"/>
    </row>
    <row r="1503" spans="1:17" ht="30" hidden="1" outlineLevel="1">
      <c r="A1503" s="2">
        <v>5</v>
      </c>
      <c r="B1503" s="2">
        <v>14</v>
      </c>
      <c r="C1503" s="2">
        <v>1</v>
      </c>
      <c r="E1503" s="20" t="str">
        <f>CONCATENATE(A1503,".",B1503,".",C1503)</f>
        <v>5.14.1</v>
      </c>
      <c r="F1503" s="21" t="s">
        <v>3372</v>
      </c>
      <c r="G1503" s="22" t="s">
        <v>3373</v>
      </c>
      <c r="H1503" s="23" t="s">
        <v>3374</v>
      </c>
      <c r="I1503" s="24" t="s">
        <v>144</v>
      </c>
      <c r="J1503" s="32"/>
      <c r="K1503" s="10"/>
      <c r="L1503" s="32"/>
      <c r="M1503" s="10"/>
      <c r="N1503" s="33"/>
      <c r="O1503" s="11">
        <f>SUM(O1504)</f>
        <v>956.4</v>
      </c>
    </row>
    <row r="1504" spans="1:17" hidden="1" outlineLevel="2">
      <c r="E1504" s="20"/>
      <c r="F1504" s="21"/>
      <c r="G1504" s="22"/>
      <c r="H1504" s="23"/>
      <c r="I1504" s="24"/>
      <c r="J1504" s="32"/>
      <c r="K1504" s="10"/>
      <c r="L1504" s="32"/>
      <c r="M1504" s="10"/>
      <c r="N1504" s="33">
        <v>956.4</v>
      </c>
      <c r="O1504" s="58">
        <f>ROUND(PRODUCT(J1504:N1504),2)</f>
        <v>956.4</v>
      </c>
    </row>
    <row r="1505" spans="1:15" ht="30" hidden="1" outlineLevel="1">
      <c r="A1505" s="2">
        <v>5</v>
      </c>
      <c r="B1505" s="2">
        <v>14</v>
      </c>
      <c r="C1505" s="2">
        <f>1+C1503</f>
        <v>2</v>
      </c>
      <c r="E1505" s="20" t="str">
        <f>CONCATENATE(A1505,".",B1505,".",C1505)</f>
        <v>5.14.2</v>
      </c>
      <c r="F1505" s="21" t="s">
        <v>3375</v>
      </c>
      <c r="G1505" s="22" t="s">
        <v>3376</v>
      </c>
      <c r="H1505" s="23" t="s">
        <v>3377</v>
      </c>
      <c r="I1505" s="24" t="s">
        <v>144</v>
      </c>
      <c r="J1505" s="32"/>
      <c r="K1505" s="10"/>
      <c r="L1505" s="32"/>
      <c r="M1505" s="10"/>
      <c r="N1505" s="33"/>
      <c r="O1505" s="11">
        <f>SUM(O1506)</f>
        <v>7238.1</v>
      </c>
    </row>
    <row r="1506" spans="1:15" hidden="1" outlineLevel="2">
      <c r="E1506" s="20"/>
      <c r="F1506" s="21"/>
      <c r="G1506" s="22"/>
      <c r="H1506" s="23"/>
      <c r="I1506" s="24"/>
      <c r="J1506" s="32"/>
      <c r="K1506" s="10"/>
      <c r="L1506" s="32"/>
      <c r="M1506" s="10"/>
      <c r="N1506" s="33">
        <v>7238.1</v>
      </c>
      <c r="O1506" s="58">
        <f>ROUND(PRODUCT(J1506:N1506),2)</f>
        <v>7238.1</v>
      </c>
    </row>
    <row r="1507" spans="1:15" hidden="1" outlineLevel="1">
      <c r="A1507" s="2">
        <v>5</v>
      </c>
      <c r="B1507" s="2">
        <v>14</v>
      </c>
      <c r="C1507" s="2">
        <f>1+C1505</f>
        <v>3</v>
      </c>
      <c r="E1507" s="20" t="str">
        <f>CONCATENATE(A1507,".",B1507,".",C1507)</f>
        <v>5.14.3</v>
      </c>
      <c r="F1507" s="21" t="s">
        <v>3378</v>
      </c>
      <c r="G1507" s="22" t="s">
        <v>2577</v>
      </c>
      <c r="H1507" s="23" t="s">
        <v>2578</v>
      </c>
      <c r="I1507" s="24" t="s">
        <v>36</v>
      </c>
      <c r="J1507" s="32"/>
      <c r="K1507" s="10"/>
      <c r="L1507" s="32"/>
      <c r="M1507" s="10"/>
      <c r="N1507" s="33"/>
      <c r="O1507" s="11">
        <f>SUM(O1508)</f>
        <v>12</v>
      </c>
    </row>
    <row r="1508" spans="1:15" hidden="1" outlineLevel="2">
      <c r="E1508" s="20"/>
      <c r="F1508" s="21"/>
      <c r="G1508" s="22"/>
      <c r="H1508" s="23"/>
      <c r="I1508" s="24"/>
      <c r="J1508" s="32"/>
      <c r="K1508" s="10"/>
      <c r="L1508" s="32"/>
      <c r="M1508" s="10"/>
      <c r="N1508" s="33">
        <v>12</v>
      </c>
      <c r="O1508" s="58">
        <f>ROUND(PRODUCT(J1508:N1508),2)</f>
        <v>12</v>
      </c>
    </row>
    <row r="1509" spans="1:15" ht="30" hidden="1" outlineLevel="1">
      <c r="A1509" s="2">
        <v>5</v>
      </c>
      <c r="B1509" s="2">
        <v>14</v>
      </c>
      <c r="C1509" s="2">
        <f>1+C1507</f>
        <v>4</v>
      </c>
      <c r="E1509" s="20" t="str">
        <f>CONCATENATE(A1509,".",B1509,".",C1509)</f>
        <v>5.14.4</v>
      </c>
      <c r="F1509" s="21" t="s">
        <v>3379</v>
      </c>
      <c r="G1509" s="22" t="s">
        <v>654</v>
      </c>
      <c r="H1509" s="23" t="s">
        <v>655</v>
      </c>
      <c r="I1509" s="24" t="s">
        <v>36</v>
      </c>
      <c r="J1509" s="32"/>
      <c r="K1509" s="10"/>
      <c r="L1509" s="32"/>
      <c r="M1509" s="10"/>
      <c r="N1509" s="33"/>
      <c r="O1509" s="11">
        <f>SUM(O1510)</f>
        <v>1</v>
      </c>
    </row>
    <row r="1510" spans="1:15" hidden="1" outlineLevel="2">
      <c r="E1510" s="20"/>
      <c r="F1510" s="21"/>
      <c r="G1510" s="22"/>
      <c r="H1510" s="23"/>
      <c r="I1510" s="24"/>
      <c r="J1510" s="32"/>
      <c r="K1510" s="10"/>
      <c r="L1510" s="32"/>
      <c r="M1510" s="10"/>
      <c r="N1510" s="33">
        <v>1</v>
      </c>
      <c r="O1510" s="58">
        <f>ROUND(PRODUCT(J1510:N1510),2)</f>
        <v>1</v>
      </c>
    </row>
    <row r="1511" spans="1:15" ht="30" hidden="1" outlineLevel="1">
      <c r="A1511" s="2">
        <v>5</v>
      </c>
      <c r="B1511" s="2">
        <v>14</v>
      </c>
      <c r="C1511" s="2">
        <f>1+C1509</f>
        <v>5</v>
      </c>
      <c r="E1511" s="20" t="str">
        <f>CONCATENATE(A1511,".",B1511,".",C1511)</f>
        <v>5.14.5</v>
      </c>
      <c r="F1511" s="21" t="s">
        <v>3380</v>
      </c>
      <c r="G1511" s="22" t="s">
        <v>3381</v>
      </c>
      <c r="H1511" s="23" t="s">
        <v>3382</v>
      </c>
      <c r="I1511" s="24" t="s">
        <v>144</v>
      </c>
      <c r="J1511" s="32"/>
      <c r="K1511" s="10"/>
      <c r="L1511" s="32"/>
      <c r="M1511" s="10"/>
      <c r="N1511" s="33"/>
      <c r="O1511" s="11">
        <f>SUM(O1512)</f>
        <v>19.899999999999999</v>
      </c>
    </row>
    <row r="1512" spans="1:15" hidden="1" outlineLevel="2">
      <c r="E1512" s="20"/>
      <c r="F1512" s="21"/>
      <c r="G1512" s="22"/>
      <c r="H1512" s="23"/>
      <c r="I1512" s="24"/>
      <c r="J1512" s="32"/>
      <c r="K1512" s="10"/>
      <c r="L1512" s="32"/>
      <c r="M1512" s="10"/>
      <c r="N1512" s="33">
        <v>19.899999999999999</v>
      </c>
      <c r="O1512" s="58">
        <f>ROUND(PRODUCT(J1512:N1512),2)</f>
        <v>19.899999999999999</v>
      </c>
    </row>
    <row r="1513" spans="1:15" hidden="1" outlineLevel="1">
      <c r="A1513" s="2">
        <v>5</v>
      </c>
      <c r="B1513" s="2">
        <v>14</v>
      </c>
      <c r="C1513" s="2">
        <f>1+C1511</f>
        <v>6</v>
      </c>
      <c r="E1513" s="20" t="str">
        <f>CONCATENATE(A1513,".",B1513,".",C1513)</f>
        <v>5.14.6</v>
      </c>
      <c r="F1513" s="21" t="s">
        <v>3383</v>
      </c>
      <c r="G1513" s="22" t="s">
        <v>3384</v>
      </c>
      <c r="H1513" s="23" t="s">
        <v>3385</v>
      </c>
      <c r="I1513" s="24" t="s">
        <v>36</v>
      </c>
      <c r="J1513" s="32"/>
      <c r="K1513" s="10"/>
      <c r="L1513" s="32"/>
      <c r="M1513" s="10"/>
      <c r="N1513" s="33"/>
      <c r="O1513" s="11">
        <f>SUM(O1514)</f>
        <v>1</v>
      </c>
    </row>
    <row r="1514" spans="1:15" hidden="1" outlineLevel="2">
      <c r="E1514" s="20"/>
      <c r="F1514" s="21"/>
      <c r="G1514" s="22"/>
      <c r="H1514" s="23"/>
      <c r="I1514" s="24"/>
      <c r="J1514" s="32"/>
      <c r="K1514" s="10"/>
      <c r="L1514" s="32"/>
      <c r="M1514" s="10"/>
      <c r="N1514" s="33">
        <v>1</v>
      </c>
      <c r="O1514" s="58">
        <f>ROUND(PRODUCT(J1514:N1514),2)</f>
        <v>1</v>
      </c>
    </row>
    <row r="1515" spans="1:15" ht="45" hidden="1" outlineLevel="1">
      <c r="A1515" s="2">
        <v>5</v>
      </c>
      <c r="B1515" s="2">
        <v>14</v>
      </c>
      <c r="C1515" s="2">
        <f>1+C1513</f>
        <v>7</v>
      </c>
      <c r="E1515" s="20" t="str">
        <f>CONCATENATE(A1515,".",B1515,".",C1515)</f>
        <v>5.14.7</v>
      </c>
      <c r="F1515" s="21" t="s">
        <v>3386</v>
      </c>
      <c r="G1515" s="22" t="s">
        <v>3387</v>
      </c>
      <c r="H1515" s="23" t="s">
        <v>3388</v>
      </c>
      <c r="I1515" s="24" t="s">
        <v>36</v>
      </c>
      <c r="J1515" s="32"/>
      <c r="K1515" s="10"/>
      <c r="L1515" s="32"/>
      <c r="M1515" s="10"/>
      <c r="N1515" s="33"/>
      <c r="O1515" s="11">
        <f>SUM(O1516)</f>
        <v>4</v>
      </c>
    </row>
    <row r="1516" spans="1:15" hidden="1" outlineLevel="2">
      <c r="E1516" s="20"/>
      <c r="F1516" s="21"/>
      <c r="G1516" s="22"/>
      <c r="H1516" s="23"/>
      <c r="I1516" s="24"/>
      <c r="J1516" s="32"/>
      <c r="K1516" s="10"/>
      <c r="L1516" s="32"/>
      <c r="M1516" s="10"/>
      <c r="N1516" s="33">
        <v>4</v>
      </c>
      <c r="O1516" s="58">
        <f>ROUND(PRODUCT(J1516:N1516),2)</f>
        <v>4</v>
      </c>
    </row>
    <row r="1517" spans="1:15" hidden="1" outlineLevel="1">
      <c r="A1517" s="2">
        <v>5</v>
      </c>
      <c r="B1517" s="2">
        <v>14</v>
      </c>
      <c r="C1517" s="2">
        <f>1+C1515</f>
        <v>8</v>
      </c>
      <c r="E1517" s="20" t="str">
        <f>CONCATENATE(A1517,".",B1517,".",C1517)</f>
        <v>5.14.8</v>
      </c>
      <c r="F1517" s="21" t="s">
        <v>3389</v>
      </c>
      <c r="G1517" s="22">
        <v>98307</v>
      </c>
      <c r="H1517" s="23" t="s">
        <v>2631</v>
      </c>
      <c r="I1517" s="24" t="s">
        <v>3390</v>
      </c>
      <c r="J1517" s="32"/>
      <c r="K1517" s="10"/>
      <c r="L1517" s="32"/>
      <c r="M1517" s="10"/>
      <c r="N1517" s="33"/>
      <c r="O1517" s="11">
        <f>SUM(O1518)</f>
        <v>251</v>
      </c>
    </row>
    <row r="1518" spans="1:15" hidden="1" outlineLevel="2">
      <c r="E1518" s="20"/>
      <c r="F1518" s="21"/>
      <c r="G1518" s="22"/>
      <c r="H1518" s="23"/>
      <c r="I1518" s="24"/>
      <c r="J1518" s="32"/>
      <c r="K1518" s="64"/>
      <c r="L1518" s="32"/>
      <c r="M1518" s="10"/>
      <c r="N1518" s="33">
        <v>251</v>
      </c>
      <c r="O1518" s="58">
        <f>ROUND(PRODUCT(J1518:N1518),2)</f>
        <v>251</v>
      </c>
    </row>
    <row r="1519" spans="1:15" hidden="1" outlineLevel="1">
      <c r="A1519" s="2">
        <v>5</v>
      </c>
      <c r="B1519" s="2">
        <v>14</v>
      </c>
      <c r="C1519" s="2">
        <f>1+C1517</f>
        <v>9</v>
      </c>
      <c r="E1519" s="20" t="str">
        <f>CONCATENATE(A1519,".",B1519,".",C1519)</f>
        <v>5.14.9</v>
      </c>
      <c r="F1519" s="21" t="s">
        <v>3391</v>
      </c>
      <c r="G1519" s="22">
        <v>98304</v>
      </c>
      <c r="H1519" s="23" t="s">
        <v>3392</v>
      </c>
      <c r="I1519" s="24" t="s">
        <v>3390</v>
      </c>
      <c r="J1519" s="32"/>
      <c r="K1519" s="10"/>
      <c r="L1519" s="32"/>
      <c r="M1519" s="10"/>
      <c r="N1519" s="33"/>
      <c r="O1519" s="11">
        <f>SUM(O1520)</f>
        <v>10</v>
      </c>
    </row>
    <row r="1520" spans="1:15" hidden="1" outlineLevel="2">
      <c r="E1520" s="20"/>
      <c r="F1520" s="21"/>
      <c r="G1520" s="22"/>
      <c r="H1520" s="23"/>
      <c r="I1520" s="24"/>
      <c r="J1520" s="32"/>
      <c r="K1520" s="64"/>
      <c r="L1520" s="32"/>
      <c r="M1520" s="10"/>
      <c r="N1520" s="33">
        <v>10</v>
      </c>
      <c r="O1520" s="58">
        <f>ROUND(PRODUCT(J1520:N1520),2)</f>
        <v>10</v>
      </c>
    </row>
    <row r="1521" spans="1:16" ht="30" hidden="1" outlineLevel="1">
      <c r="A1521" s="2">
        <v>5</v>
      </c>
      <c r="B1521" s="2">
        <v>14</v>
      </c>
      <c r="C1521" s="2">
        <f>1+C1519</f>
        <v>10</v>
      </c>
      <c r="E1521" s="20" t="str">
        <f>CONCATENATE(A1521,".",B1521,".",C1521)</f>
        <v>5.14.10</v>
      </c>
      <c r="F1521" s="21" t="s">
        <v>3393</v>
      </c>
      <c r="G1521" s="22">
        <v>91941</v>
      </c>
      <c r="H1521" s="23" t="s">
        <v>3394</v>
      </c>
      <c r="I1521" s="24" t="s">
        <v>3390</v>
      </c>
      <c r="J1521" s="32"/>
      <c r="K1521" s="10"/>
      <c r="L1521" s="32"/>
      <c r="M1521" s="10"/>
      <c r="N1521" s="33"/>
      <c r="O1521" s="11">
        <f>SUM(O1522)</f>
        <v>90</v>
      </c>
    </row>
    <row r="1522" spans="1:16" hidden="1" outlineLevel="2">
      <c r="E1522" s="20"/>
      <c r="F1522" s="21"/>
      <c r="G1522" s="22"/>
      <c r="H1522" s="23"/>
      <c r="I1522" s="24"/>
      <c r="J1522" s="32"/>
      <c r="K1522" s="64"/>
      <c r="L1522" s="32"/>
      <c r="M1522" s="10"/>
      <c r="N1522" s="33">
        <v>90</v>
      </c>
      <c r="O1522" s="58">
        <f>ROUND(PRODUCT(J1522:N1522),2)</f>
        <v>90</v>
      </c>
    </row>
    <row r="1523" spans="1:16" ht="30" hidden="1" outlineLevel="1">
      <c r="A1523" s="2">
        <v>5</v>
      </c>
      <c r="B1523" s="2">
        <v>14</v>
      </c>
      <c r="C1523" s="2">
        <f>1+C1521</f>
        <v>11</v>
      </c>
      <c r="E1523" s="20" t="str">
        <f>CONCATENATE(A1523,".",B1523,".",C1523)</f>
        <v>5.14.11</v>
      </c>
      <c r="F1523" s="21" t="s">
        <v>3395</v>
      </c>
      <c r="G1523" s="22">
        <v>91944</v>
      </c>
      <c r="H1523" s="23" t="s">
        <v>3396</v>
      </c>
      <c r="I1523" s="24" t="s">
        <v>3390</v>
      </c>
      <c r="J1523" s="32"/>
      <c r="K1523" s="10"/>
      <c r="L1523" s="32"/>
      <c r="M1523" s="10"/>
      <c r="N1523" s="33"/>
      <c r="O1523" s="11">
        <f>SUM(O1524)</f>
        <v>79</v>
      </c>
    </row>
    <row r="1524" spans="1:16" hidden="1" outlineLevel="2">
      <c r="E1524" s="20"/>
      <c r="F1524" s="21"/>
      <c r="G1524" s="22"/>
      <c r="H1524" s="23"/>
      <c r="I1524" s="24"/>
      <c r="J1524" s="32"/>
      <c r="K1524" s="64"/>
      <c r="L1524" s="32"/>
      <c r="M1524" s="10"/>
      <c r="N1524" s="33">
        <v>79</v>
      </c>
      <c r="O1524" s="58">
        <f>ROUND(PRODUCT(J1524:N1524),2)</f>
        <v>79</v>
      </c>
    </row>
    <row r="1525" spans="1:16" ht="30" hidden="1" outlineLevel="1">
      <c r="A1525" s="2">
        <v>5</v>
      </c>
      <c r="B1525" s="2">
        <v>14</v>
      </c>
      <c r="C1525" s="2">
        <f>1+C1523</f>
        <v>12</v>
      </c>
      <c r="E1525" s="20" t="str">
        <f>CONCATENATE(A1525,".",B1525,".",C1525)</f>
        <v>5.14.12</v>
      </c>
      <c r="F1525" s="21" t="s">
        <v>3397</v>
      </c>
      <c r="G1525" s="22">
        <v>91936</v>
      </c>
      <c r="H1525" s="23" t="s">
        <v>540</v>
      </c>
      <c r="I1525" s="24" t="s">
        <v>3390</v>
      </c>
      <c r="J1525" s="32"/>
      <c r="K1525" s="10"/>
      <c r="L1525" s="32"/>
      <c r="M1525" s="10"/>
      <c r="N1525" s="33"/>
      <c r="O1525" s="11">
        <f>SUM(O1526)</f>
        <v>40</v>
      </c>
    </row>
    <row r="1526" spans="1:16" hidden="1" outlineLevel="2">
      <c r="E1526" s="20"/>
      <c r="F1526" s="21"/>
      <c r="G1526" s="22"/>
      <c r="H1526" s="23"/>
      <c r="I1526" s="24"/>
      <c r="J1526" s="32"/>
      <c r="K1526" s="64"/>
      <c r="L1526" s="32"/>
      <c r="M1526" s="10"/>
      <c r="N1526" s="33">
        <v>40</v>
      </c>
      <c r="O1526" s="58">
        <f>ROUND(PRODUCT(J1526:N1526),2)</f>
        <v>40</v>
      </c>
    </row>
    <row r="1527" spans="1:16" hidden="1" outlineLevel="1">
      <c r="A1527" s="2">
        <v>5</v>
      </c>
      <c r="B1527" s="2">
        <v>14</v>
      </c>
      <c r="C1527" s="2">
        <f>1+C1525</f>
        <v>13</v>
      </c>
      <c r="E1527" s="20" t="str">
        <f>CONCATENATE(A1527,".",B1527,".",C1527)</f>
        <v>5.14.13</v>
      </c>
      <c r="F1527" s="21" t="s">
        <v>3398</v>
      </c>
      <c r="G1527" s="22" t="s">
        <v>3399</v>
      </c>
      <c r="H1527" s="23" t="s">
        <v>3400</v>
      </c>
      <c r="I1527" s="24" t="s">
        <v>3390</v>
      </c>
      <c r="J1527" s="32"/>
      <c r="K1527" s="10"/>
      <c r="L1527" s="32"/>
      <c r="M1527" s="10"/>
      <c r="N1527" s="33"/>
      <c r="O1527" s="11">
        <f>SUM(O1528)</f>
        <v>1</v>
      </c>
      <c r="P1527" s="185" t="e">
        <f>VLOOKUP(G1527,[13]COMPOSIÇÕES!$A$3:$F$2740,6,FALSE())</f>
        <v>#N/A</v>
      </c>
    </row>
    <row r="1528" spans="1:16" hidden="1" outlineLevel="2">
      <c r="E1528" s="20"/>
      <c r="F1528" s="21"/>
      <c r="G1528" s="22"/>
      <c r="H1528" s="23"/>
      <c r="I1528" s="24"/>
      <c r="J1528" s="32"/>
      <c r="K1528" s="64"/>
      <c r="L1528" s="32"/>
      <c r="M1528" s="10"/>
      <c r="N1528" s="33">
        <v>1</v>
      </c>
      <c r="O1528" s="58">
        <f>ROUND(PRODUCT(J1528:N1528),2)</f>
        <v>1</v>
      </c>
    </row>
    <row r="1529" spans="1:16" hidden="1" outlineLevel="1">
      <c r="A1529" s="2">
        <v>5</v>
      </c>
      <c r="B1529" s="2">
        <v>14</v>
      </c>
      <c r="C1529" s="2">
        <f>1+C1527</f>
        <v>14</v>
      </c>
      <c r="E1529" s="20" t="str">
        <f>CONCATENATE(A1529,".",B1529,".",C1529)</f>
        <v>5.14.14</v>
      </c>
      <c r="F1529" s="21" t="s">
        <v>3401</v>
      </c>
      <c r="G1529" s="22" t="s">
        <v>3402</v>
      </c>
      <c r="H1529" s="23" t="s">
        <v>3403</v>
      </c>
      <c r="I1529" s="24" t="s">
        <v>3390</v>
      </c>
      <c r="J1529" s="32"/>
      <c r="K1529" s="10"/>
      <c r="L1529" s="32"/>
      <c r="M1529" s="10"/>
      <c r="N1529" s="33"/>
      <c r="O1529" s="11">
        <f>SUM(O1530)</f>
        <v>192</v>
      </c>
      <c r="P1529" s="185" t="e">
        <f>VLOOKUP(G1529,[13]COMPOSIÇÕES!$A$3:$F$2740,6,FALSE())</f>
        <v>#N/A</v>
      </c>
    </row>
    <row r="1530" spans="1:16" hidden="1" outlineLevel="2">
      <c r="E1530" s="20"/>
      <c r="F1530" s="21"/>
      <c r="G1530" s="22"/>
      <c r="H1530" s="23"/>
      <c r="I1530" s="24"/>
      <c r="J1530" s="32"/>
      <c r="K1530" s="64"/>
      <c r="L1530" s="32"/>
      <c r="M1530" s="10"/>
      <c r="N1530" s="33">
        <f>12+180</f>
        <v>192</v>
      </c>
      <c r="O1530" s="58">
        <f>ROUND(PRODUCT(J1530:N1530),2)</f>
        <v>192</v>
      </c>
    </row>
    <row r="1531" spans="1:16" hidden="1" outlineLevel="1">
      <c r="A1531" s="2">
        <v>5</v>
      </c>
      <c r="B1531" s="2">
        <v>14</v>
      </c>
      <c r="C1531" s="2">
        <f>1+C1529</f>
        <v>15</v>
      </c>
      <c r="E1531" s="20" t="str">
        <f>CONCATENATE(A1531,".",B1531,".",C1531)</f>
        <v>5.14.15</v>
      </c>
      <c r="F1531" s="21" t="s">
        <v>3404</v>
      </c>
      <c r="G1531" s="22" t="s">
        <v>3405</v>
      </c>
      <c r="H1531" s="23" t="s">
        <v>3406</v>
      </c>
      <c r="I1531" s="24" t="s">
        <v>3390</v>
      </c>
      <c r="J1531" s="32"/>
      <c r="K1531" s="10"/>
      <c r="L1531" s="32"/>
      <c r="M1531" s="10"/>
      <c r="N1531" s="33"/>
      <c r="O1531" s="11">
        <f>SUM(O1532)</f>
        <v>6</v>
      </c>
      <c r="P1531" s="185" t="e">
        <f>VLOOKUP(G1531,[13]COMPOSIÇÕES!$A$3:$F$2740,6,FALSE())</f>
        <v>#N/A</v>
      </c>
    </row>
    <row r="1532" spans="1:16" hidden="1" outlineLevel="2">
      <c r="E1532" s="20"/>
      <c r="F1532" s="21"/>
      <c r="G1532" s="22"/>
      <c r="H1532" s="23"/>
      <c r="I1532" s="24"/>
      <c r="J1532" s="32"/>
      <c r="K1532" s="64"/>
      <c r="L1532" s="32"/>
      <c r="M1532" s="10"/>
      <c r="N1532" s="33">
        <v>6</v>
      </c>
      <c r="O1532" s="58">
        <f>ROUND(PRODUCT(J1532:N1532),2)</f>
        <v>6</v>
      </c>
    </row>
    <row r="1533" spans="1:16" hidden="1" outlineLevel="1">
      <c r="A1533" s="2">
        <v>5</v>
      </c>
      <c r="B1533" s="2">
        <v>14</v>
      </c>
      <c r="C1533" s="2">
        <f>1+C1531</f>
        <v>16</v>
      </c>
      <c r="E1533" s="20" t="str">
        <f>CONCATENATE(A1533,".",B1533,".",C1533)</f>
        <v>5.14.16</v>
      </c>
      <c r="F1533" s="21" t="s">
        <v>3407</v>
      </c>
      <c r="G1533" s="22" t="s">
        <v>3408</v>
      </c>
      <c r="H1533" s="23" t="s">
        <v>3409</v>
      </c>
      <c r="I1533" s="24" t="s">
        <v>3390</v>
      </c>
      <c r="J1533" s="32"/>
      <c r="K1533" s="10"/>
      <c r="L1533" s="32"/>
      <c r="M1533" s="10"/>
      <c r="N1533" s="33"/>
      <c r="O1533" s="11">
        <f>SUM(O1534)</f>
        <v>1</v>
      </c>
      <c r="P1533" s="185" t="e">
        <f>VLOOKUP(G1533,[13]COMPOSIÇÕES!$A$3:$F$2740,6,FALSE())</f>
        <v>#N/A</v>
      </c>
    </row>
    <row r="1534" spans="1:16" hidden="1" outlineLevel="2">
      <c r="E1534" s="20"/>
      <c r="F1534" s="21"/>
      <c r="G1534" s="22"/>
      <c r="H1534" s="23"/>
      <c r="I1534" s="24"/>
      <c r="J1534" s="32"/>
      <c r="K1534" s="64"/>
      <c r="L1534" s="32"/>
      <c r="M1534" s="10"/>
      <c r="N1534" s="33">
        <v>1</v>
      </c>
      <c r="O1534" s="58">
        <f>ROUND(PRODUCT(J1534:N1534),2)</f>
        <v>1</v>
      </c>
    </row>
    <row r="1535" spans="1:16" hidden="1" outlineLevel="1">
      <c r="A1535" s="2">
        <v>5</v>
      </c>
      <c r="B1535" s="2">
        <v>14</v>
      </c>
      <c r="C1535" s="2">
        <f>1+C1533</f>
        <v>17</v>
      </c>
      <c r="E1535" s="20" t="str">
        <f>CONCATENATE(A1535,".",B1535,".",C1535)</f>
        <v>5.14.17</v>
      </c>
      <c r="F1535" s="21" t="s">
        <v>3410</v>
      </c>
      <c r="G1535" s="22" t="s">
        <v>3411</v>
      </c>
      <c r="H1535" s="23" t="s">
        <v>3412</v>
      </c>
      <c r="I1535" s="24" t="s">
        <v>3390</v>
      </c>
      <c r="J1535" s="32"/>
      <c r="K1535" s="10"/>
      <c r="L1535" s="32"/>
      <c r="M1535" s="10"/>
      <c r="N1535" s="33"/>
      <c r="O1535" s="11">
        <f>SUM(O1536)</f>
        <v>30</v>
      </c>
      <c r="P1535" s="185" t="e">
        <f>VLOOKUP(G1535,[13]COMPOSIÇÕES!$A$3:$F$2740,6,FALSE())</f>
        <v>#N/A</v>
      </c>
    </row>
    <row r="1536" spans="1:16" hidden="1" outlineLevel="2">
      <c r="E1536" s="20"/>
      <c r="F1536" s="21"/>
      <c r="G1536" s="22"/>
      <c r="H1536" s="23"/>
      <c r="I1536" s="24"/>
      <c r="J1536" s="32"/>
      <c r="K1536" s="64"/>
      <c r="L1536" s="32"/>
      <c r="M1536" s="10"/>
      <c r="N1536" s="33">
        <v>30</v>
      </c>
      <c r="O1536" s="58">
        <f>ROUND(PRODUCT(J1536:N1536),2)</f>
        <v>30</v>
      </c>
    </row>
    <row r="1537" spans="1:16" hidden="1" outlineLevel="1">
      <c r="A1537" s="2">
        <v>5</v>
      </c>
      <c r="B1537" s="2">
        <v>14</v>
      </c>
      <c r="C1537" s="2">
        <f>1+C1535</f>
        <v>18</v>
      </c>
      <c r="E1537" s="20" t="str">
        <f>CONCATENATE(A1537,".",B1537,".",C1537)</f>
        <v>5.14.18</v>
      </c>
      <c r="F1537" s="21" t="s">
        <v>3413</v>
      </c>
      <c r="G1537" s="22" t="s">
        <v>3414</v>
      </c>
      <c r="H1537" s="23" t="s">
        <v>3415</v>
      </c>
      <c r="I1537" s="24" t="s">
        <v>3390</v>
      </c>
      <c r="J1537" s="32"/>
      <c r="K1537" s="10"/>
      <c r="L1537" s="32"/>
      <c r="M1537" s="10"/>
      <c r="N1537" s="33"/>
      <c r="O1537" s="11">
        <f>SUM(O1538)</f>
        <v>6</v>
      </c>
      <c r="P1537" s="185" t="e">
        <f>VLOOKUP(G1537,[13]COMPOSIÇÕES!$A$3:$F$2740,6,FALSE())</f>
        <v>#N/A</v>
      </c>
    </row>
    <row r="1538" spans="1:16" hidden="1" outlineLevel="2">
      <c r="E1538" s="20"/>
      <c r="F1538" s="21"/>
      <c r="G1538" s="22"/>
      <c r="H1538" s="23"/>
      <c r="I1538" s="24"/>
      <c r="J1538" s="32"/>
      <c r="K1538" s="64"/>
      <c r="L1538" s="32"/>
      <c r="M1538" s="10"/>
      <c r="N1538" s="33">
        <v>6</v>
      </c>
      <c r="O1538" s="58">
        <f>ROUND(PRODUCT(J1538:N1538),2)</f>
        <v>6</v>
      </c>
    </row>
    <row r="1539" spans="1:16" hidden="1" outlineLevel="1">
      <c r="A1539" s="2">
        <v>5</v>
      </c>
      <c r="B1539" s="2">
        <v>14</v>
      </c>
      <c r="C1539" s="2">
        <f>1+C1537</f>
        <v>19</v>
      </c>
      <c r="E1539" s="20" t="str">
        <f>CONCATENATE(A1539,".",B1539,".",C1539)</f>
        <v>5.14.19</v>
      </c>
      <c r="F1539" s="21" t="s">
        <v>3416</v>
      </c>
      <c r="G1539" s="22" t="s">
        <v>3417</v>
      </c>
      <c r="H1539" s="23" t="s">
        <v>2604</v>
      </c>
      <c r="I1539" s="24" t="s">
        <v>3390</v>
      </c>
      <c r="J1539" s="32"/>
      <c r="K1539" s="10"/>
      <c r="L1539" s="32"/>
      <c r="M1539" s="10"/>
      <c r="N1539" s="33"/>
      <c r="O1539" s="11">
        <f>SUM(O1540)</f>
        <v>1</v>
      </c>
      <c r="P1539" s="185" t="e">
        <f>VLOOKUP(G1539,[13]COMPOSIÇÕES!$A$3:$F$2740,6,FALSE())</f>
        <v>#N/A</v>
      </c>
    </row>
    <row r="1540" spans="1:16" hidden="1" outlineLevel="2">
      <c r="E1540" s="20"/>
      <c r="F1540" s="21"/>
      <c r="G1540" s="22"/>
      <c r="H1540" s="23"/>
      <c r="I1540" s="24"/>
      <c r="J1540" s="32"/>
      <c r="K1540" s="64"/>
      <c r="L1540" s="32"/>
      <c r="M1540" s="10"/>
      <c r="N1540" s="33">
        <v>1</v>
      </c>
      <c r="O1540" s="58">
        <f>ROUND(PRODUCT(J1540:N1540),2)</f>
        <v>1</v>
      </c>
    </row>
    <row r="1541" spans="1:16" hidden="1" outlineLevel="1">
      <c r="A1541" s="2">
        <v>5</v>
      </c>
      <c r="B1541" s="2">
        <v>14</v>
      </c>
      <c r="C1541" s="2">
        <f>1+C1539</f>
        <v>20</v>
      </c>
      <c r="E1541" s="20" t="str">
        <f>CONCATENATE(A1541,".",B1541,".",C1541)</f>
        <v>5.14.20</v>
      </c>
      <c r="F1541" s="21" t="s">
        <v>3418</v>
      </c>
      <c r="G1541" s="22" t="s">
        <v>3419</v>
      </c>
      <c r="H1541" s="23" t="s">
        <v>3420</v>
      </c>
      <c r="I1541" s="24" t="s">
        <v>3390</v>
      </c>
      <c r="J1541" s="32"/>
      <c r="K1541" s="10"/>
      <c r="L1541" s="32"/>
      <c r="M1541" s="10"/>
      <c r="N1541" s="33"/>
      <c r="O1541" s="11">
        <f>SUM(O1542)</f>
        <v>1</v>
      </c>
      <c r="P1541" s="185" t="e">
        <f>VLOOKUP(G1541,[13]COMPOSIÇÕES!$A$3:$F$2740,6,FALSE())</f>
        <v>#N/A</v>
      </c>
    </row>
    <row r="1542" spans="1:16" hidden="1" outlineLevel="2">
      <c r="E1542" s="20"/>
      <c r="F1542" s="21"/>
      <c r="G1542" s="22"/>
      <c r="H1542" s="23"/>
      <c r="I1542" s="24"/>
      <c r="J1542" s="32"/>
      <c r="K1542" s="64"/>
      <c r="L1542" s="32"/>
      <c r="M1542" s="10"/>
      <c r="N1542" s="33">
        <v>1</v>
      </c>
      <c r="O1542" s="58">
        <f>ROUND(PRODUCT(J1542:N1542),2)</f>
        <v>1</v>
      </c>
    </row>
    <row r="1543" spans="1:16" hidden="1" outlineLevel="1">
      <c r="A1543" s="2">
        <v>5</v>
      </c>
      <c r="B1543" s="2">
        <v>14</v>
      </c>
      <c r="C1543" s="2">
        <f>1+C1541</f>
        <v>21</v>
      </c>
      <c r="E1543" s="20" t="str">
        <f>CONCATENATE(A1543,".",B1543,".",C1543)</f>
        <v>5.14.21</v>
      </c>
      <c r="F1543" s="21" t="s">
        <v>3421</v>
      </c>
      <c r="G1543" s="22" t="s">
        <v>3422</v>
      </c>
      <c r="H1543" s="23" t="s">
        <v>3423</v>
      </c>
      <c r="I1543" s="24" t="s">
        <v>3390</v>
      </c>
      <c r="J1543" s="32"/>
      <c r="K1543" s="10"/>
      <c r="L1543" s="32"/>
      <c r="M1543" s="10"/>
      <c r="N1543" s="33"/>
      <c r="O1543" s="11">
        <f>SUM(O1544)</f>
        <v>372</v>
      </c>
      <c r="P1543" s="185" t="e">
        <f>VLOOKUP(G1543,[13]COMPOSIÇÕES!$A$3:$F$2740,6,FALSE())</f>
        <v>#N/A</v>
      </c>
    </row>
    <row r="1544" spans="1:16" hidden="1" outlineLevel="2">
      <c r="E1544" s="20"/>
      <c r="F1544" s="21"/>
      <c r="G1544" s="22"/>
      <c r="H1544" s="23"/>
      <c r="I1544" s="24"/>
      <c r="J1544" s="32"/>
      <c r="K1544" s="64"/>
      <c r="L1544" s="32"/>
      <c r="M1544" s="10"/>
      <c r="N1544" s="33">
        <v>372</v>
      </c>
      <c r="O1544" s="58">
        <f>ROUND(PRODUCT(J1544:N1544),2)</f>
        <v>372</v>
      </c>
    </row>
    <row r="1545" spans="1:16" hidden="1" outlineLevel="1">
      <c r="A1545" s="2">
        <v>5</v>
      </c>
      <c r="B1545" s="2">
        <v>14</v>
      </c>
      <c r="C1545" s="2">
        <f>1+C1543</f>
        <v>22</v>
      </c>
      <c r="E1545" s="20" t="str">
        <f>CONCATENATE(A1545,".",B1545,".",C1545)</f>
        <v>5.14.22</v>
      </c>
      <c r="F1545" s="21" t="s">
        <v>3424</v>
      </c>
      <c r="G1545" s="22" t="s">
        <v>3425</v>
      </c>
      <c r="H1545" s="23" t="s">
        <v>3426</v>
      </c>
      <c r="I1545" s="24" t="s">
        <v>3390</v>
      </c>
      <c r="J1545" s="32"/>
      <c r="K1545" s="10"/>
      <c r="L1545" s="32"/>
      <c r="M1545" s="10"/>
      <c r="N1545" s="33"/>
      <c r="O1545" s="11">
        <f>SUM(O1546)</f>
        <v>10</v>
      </c>
      <c r="P1545" s="185" t="e">
        <f>VLOOKUP(G1545,[13]COMPOSIÇÕES!$A$3:$F$2740,6,FALSE())</f>
        <v>#N/A</v>
      </c>
    </row>
    <row r="1546" spans="1:16" hidden="1" outlineLevel="2">
      <c r="E1546" s="20"/>
      <c r="F1546" s="21"/>
      <c r="G1546" s="22"/>
      <c r="H1546" s="23"/>
      <c r="I1546" s="24"/>
      <c r="J1546" s="32"/>
      <c r="K1546" s="64"/>
      <c r="L1546" s="32"/>
      <c r="M1546" s="10"/>
      <c r="N1546" s="33">
        <v>10</v>
      </c>
      <c r="O1546" s="58">
        <f>ROUND(PRODUCT(J1546:N1546),2)</f>
        <v>10</v>
      </c>
    </row>
    <row r="1547" spans="1:16" hidden="1" outlineLevel="1">
      <c r="A1547" s="2">
        <v>5</v>
      </c>
      <c r="B1547" s="2">
        <v>14</v>
      </c>
      <c r="C1547" s="2">
        <f>1+C1545</f>
        <v>23</v>
      </c>
      <c r="E1547" s="20" t="str">
        <f>CONCATENATE(A1547,".",B1547,".",C1547)</f>
        <v>5.14.23</v>
      </c>
      <c r="F1547" s="21" t="s">
        <v>3427</v>
      </c>
      <c r="G1547" s="22" t="s">
        <v>3428</v>
      </c>
      <c r="H1547" s="23" t="s">
        <v>3429</v>
      </c>
      <c r="I1547" s="24" t="s">
        <v>3390</v>
      </c>
      <c r="J1547" s="32"/>
      <c r="K1547" s="10"/>
      <c r="L1547" s="32"/>
      <c r="M1547" s="10"/>
      <c r="N1547" s="33"/>
      <c r="O1547" s="11">
        <f>SUM(O1548)</f>
        <v>3</v>
      </c>
      <c r="P1547" s="185" t="e">
        <f>VLOOKUP(G1547,[13]COMPOSIÇÕES!$A$3:$F$2740,6,FALSE())</f>
        <v>#N/A</v>
      </c>
    </row>
    <row r="1548" spans="1:16" hidden="1" outlineLevel="2">
      <c r="E1548" s="20"/>
      <c r="F1548" s="21"/>
      <c r="G1548" s="22"/>
      <c r="H1548" s="23"/>
      <c r="I1548" s="24"/>
      <c r="J1548" s="32"/>
      <c r="K1548" s="64"/>
      <c r="L1548" s="32"/>
      <c r="M1548" s="10"/>
      <c r="N1548" s="33">
        <v>3</v>
      </c>
      <c r="O1548" s="58">
        <f>ROUND(PRODUCT(J1548:N1548),2)</f>
        <v>3</v>
      </c>
    </row>
    <row r="1549" spans="1:16" hidden="1" outlineLevel="1">
      <c r="A1549" s="2">
        <v>5</v>
      </c>
      <c r="B1549" s="2">
        <v>14</v>
      </c>
      <c r="C1549" s="2">
        <f>1+C1547</f>
        <v>24</v>
      </c>
      <c r="E1549" s="20" t="str">
        <f>CONCATENATE(A1549,".",B1549,".",C1549)</f>
        <v>5.14.24</v>
      </c>
      <c r="F1549" s="21" t="s">
        <v>3430</v>
      </c>
      <c r="G1549" s="22" t="s">
        <v>3431</v>
      </c>
      <c r="H1549" s="23" t="s">
        <v>585</v>
      </c>
      <c r="I1549" s="24" t="s">
        <v>3390</v>
      </c>
      <c r="J1549" s="32"/>
      <c r="K1549" s="10"/>
      <c r="L1549" s="32"/>
      <c r="M1549" s="10"/>
      <c r="N1549" s="33"/>
      <c r="O1549" s="11">
        <f>SUM(O1550)</f>
        <v>2</v>
      </c>
      <c r="P1549" s="185" t="e">
        <f>VLOOKUP(G1549,[13]COMPOSIÇÕES!$A$3:$F$2740,6,FALSE())</f>
        <v>#N/A</v>
      </c>
    </row>
    <row r="1550" spans="1:16" hidden="1" outlineLevel="2">
      <c r="E1550" s="20"/>
      <c r="F1550" s="21"/>
      <c r="G1550" s="22"/>
      <c r="H1550" s="23"/>
      <c r="I1550" s="24"/>
      <c r="J1550" s="32"/>
      <c r="K1550" s="64"/>
      <c r="L1550" s="32"/>
      <c r="M1550" s="10"/>
      <c r="N1550" s="33">
        <v>2</v>
      </c>
      <c r="O1550" s="58">
        <f>ROUND(PRODUCT(J1550:N1550),2)</f>
        <v>2</v>
      </c>
    </row>
    <row r="1551" spans="1:16" hidden="1" outlineLevel="1">
      <c r="A1551" s="2">
        <v>5</v>
      </c>
      <c r="B1551" s="2">
        <v>14</v>
      </c>
      <c r="C1551" s="2">
        <f>1+C1549</f>
        <v>25</v>
      </c>
      <c r="E1551" s="20" t="str">
        <f>CONCATENATE(A1551,".",B1551,".",C1551)</f>
        <v>5.14.25</v>
      </c>
      <c r="F1551" s="21" t="s">
        <v>3432</v>
      </c>
      <c r="G1551" s="22" t="s">
        <v>3433</v>
      </c>
      <c r="H1551" s="23" t="s">
        <v>3434</v>
      </c>
      <c r="I1551" s="24" t="s">
        <v>3390</v>
      </c>
      <c r="J1551" s="32"/>
      <c r="K1551" s="10"/>
      <c r="L1551" s="32"/>
      <c r="M1551" s="10"/>
      <c r="N1551" s="33"/>
      <c r="O1551" s="11">
        <f>SUM(O1552)</f>
        <v>6</v>
      </c>
      <c r="P1551" s="185" t="e">
        <f>VLOOKUP(G1551,[13]COMPOSIÇÕES!$A$3:$F$2740,6,FALSE())</f>
        <v>#N/A</v>
      </c>
    </row>
    <row r="1552" spans="1:16" hidden="1" outlineLevel="2">
      <c r="E1552" s="20"/>
      <c r="F1552" s="21"/>
      <c r="G1552" s="22"/>
      <c r="H1552" s="23"/>
      <c r="I1552" s="24"/>
      <c r="J1552" s="32"/>
      <c r="K1552" s="64"/>
      <c r="L1552" s="32"/>
      <c r="M1552" s="10"/>
      <c r="N1552" s="33">
        <v>6</v>
      </c>
      <c r="O1552" s="58">
        <f>ROUND(PRODUCT(J1552:N1552),2)</f>
        <v>6</v>
      </c>
    </row>
    <row r="1553" spans="1:16" hidden="1" outlineLevel="1">
      <c r="A1553" s="2">
        <v>5</v>
      </c>
      <c r="B1553" s="2">
        <v>14</v>
      </c>
      <c r="C1553" s="2">
        <f>1+C1551</f>
        <v>26</v>
      </c>
      <c r="E1553" s="20" t="str">
        <f>CONCATENATE(A1553,".",B1553,".",C1553)</f>
        <v>5.14.26</v>
      </c>
      <c r="F1553" s="21" t="s">
        <v>3435</v>
      </c>
      <c r="G1553" s="22" t="s">
        <v>3436</v>
      </c>
      <c r="H1553" s="23" t="s">
        <v>3437</v>
      </c>
      <c r="I1553" s="24" t="s">
        <v>3390</v>
      </c>
      <c r="J1553" s="32"/>
      <c r="K1553" s="10"/>
      <c r="L1553" s="32"/>
      <c r="M1553" s="10"/>
      <c r="N1553" s="33"/>
      <c r="O1553" s="11">
        <f>SUM(O1554)</f>
        <v>7</v>
      </c>
      <c r="P1553" s="185" t="e">
        <f>VLOOKUP(G1553,[13]COMPOSIÇÕES!$A$3:$F$2740,6,FALSE())</f>
        <v>#N/A</v>
      </c>
    </row>
    <row r="1554" spans="1:16" hidden="1" outlineLevel="2">
      <c r="E1554" s="20"/>
      <c r="F1554" s="21"/>
      <c r="G1554" s="22"/>
      <c r="H1554" s="23"/>
      <c r="I1554" s="24"/>
      <c r="J1554" s="32"/>
      <c r="K1554" s="64"/>
      <c r="L1554" s="32"/>
      <c r="M1554" s="10"/>
      <c r="N1554" s="33">
        <f>1+5+1</f>
        <v>7</v>
      </c>
      <c r="O1554" s="58">
        <f>ROUND(PRODUCT(J1554:N1554),2)</f>
        <v>7</v>
      </c>
    </row>
    <row r="1555" spans="1:16" hidden="1" outlineLevel="1">
      <c r="A1555" s="2">
        <v>5</v>
      </c>
      <c r="B1555" s="2">
        <v>14</v>
      </c>
      <c r="C1555" s="2">
        <f>1+C1553</f>
        <v>27</v>
      </c>
      <c r="E1555" s="20" t="str">
        <f>CONCATENATE(A1555,".",B1555,".",C1555)</f>
        <v>5.14.27</v>
      </c>
      <c r="F1555" s="21" t="s">
        <v>3438</v>
      </c>
      <c r="G1555" s="22" t="s">
        <v>3439</v>
      </c>
      <c r="H1555" s="23" t="s">
        <v>3440</v>
      </c>
      <c r="I1555" s="24" t="s">
        <v>3390</v>
      </c>
      <c r="J1555" s="32"/>
      <c r="K1555" s="10"/>
      <c r="L1555" s="32"/>
      <c r="M1555" s="10"/>
      <c r="N1555" s="33"/>
      <c r="O1555" s="11">
        <f>SUM(O1556)</f>
        <v>37</v>
      </c>
      <c r="P1555" s="185" t="e">
        <f>VLOOKUP(G1555,[13]COMPOSIÇÕES!$A$3:$F$2740,6,FALSE())</f>
        <v>#N/A</v>
      </c>
    </row>
    <row r="1556" spans="1:16" hidden="1" outlineLevel="2">
      <c r="E1556" s="20"/>
      <c r="F1556" s="21"/>
      <c r="G1556" s="22"/>
      <c r="H1556" s="23"/>
      <c r="I1556" s="24"/>
      <c r="J1556" s="32"/>
      <c r="K1556" s="64"/>
      <c r="L1556" s="32"/>
      <c r="M1556" s="10"/>
      <c r="N1556" s="33">
        <v>37</v>
      </c>
      <c r="O1556" s="58">
        <f>ROUND(PRODUCT(J1556:N1556),2)</f>
        <v>37</v>
      </c>
    </row>
    <row r="1557" spans="1:16" hidden="1" outlineLevel="1">
      <c r="A1557" s="2">
        <v>5</v>
      </c>
      <c r="B1557" s="2">
        <v>14</v>
      </c>
      <c r="C1557" s="2">
        <f>1+C1555</f>
        <v>28</v>
      </c>
      <c r="E1557" s="20" t="str">
        <f>CONCATENATE(A1557,".",B1557,".",C1557)</f>
        <v>5.14.28</v>
      </c>
      <c r="F1557" s="21" t="s">
        <v>3441</v>
      </c>
      <c r="G1557" s="22" t="s">
        <v>3442</v>
      </c>
      <c r="H1557" s="23" t="s">
        <v>3443</v>
      </c>
      <c r="I1557" s="24" t="s">
        <v>3390</v>
      </c>
      <c r="J1557" s="32"/>
      <c r="K1557" s="10"/>
      <c r="L1557" s="32"/>
      <c r="M1557" s="10"/>
      <c r="N1557" s="33"/>
      <c r="O1557" s="11">
        <f>SUM(O1558)</f>
        <v>37</v>
      </c>
      <c r="P1557" s="185" t="e">
        <f>VLOOKUP(G1557,[13]COMPOSIÇÕES!$A$3:$F$2740,6,FALSE())</f>
        <v>#N/A</v>
      </c>
    </row>
    <row r="1558" spans="1:16" hidden="1" outlineLevel="2">
      <c r="E1558" s="20"/>
      <c r="F1558" s="21"/>
      <c r="G1558" s="22"/>
      <c r="H1558" s="23"/>
      <c r="I1558" s="24"/>
      <c r="J1558" s="32"/>
      <c r="K1558" s="64"/>
      <c r="L1558" s="32"/>
      <c r="M1558" s="10"/>
      <c r="N1558" s="33">
        <v>37</v>
      </c>
      <c r="O1558" s="58">
        <f>ROUND(PRODUCT(J1558:N1558),2)</f>
        <v>37</v>
      </c>
    </row>
    <row r="1559" spans="1:16" hidden="1" outlineLevel="1">
      <c r="A1559" s="2">
        <v>5</v>
      </c>
      <c r="B1559" s="2">
        <v>14</v>
      </c>
      <c r="C1559" s="2">
        <f>1+C1557</f>
        <v>29</v>
      </c>
      <c r="E1559" s="20" t="str">
        <f>CONCATENATE(A1559,".",B1559,".",C1559)</f>
        <v>5.14.29</v>
      </c>
      <c r="F1559" s="21" t="s">
        <v>3444</v>
      </c>
      <c r="G1559" s="22" t="s">
        <v>3445</v>
      </c>
      <c r="H1559" s="23" t="s">
        <v>3446</v>
      </c>
      <c r="I1559" s="24" t="s">
        <v>3390</v>
      </c>
      <c r="J1559" s="32"/>
      <c r="K1559" s="10"/>
      <c r="L1559" s="32"/>
      <c r="M1559" s="10"/>
      <c r="N1559" s="33"/>
      <c r="O1559" s="11">
        <f>SUM(O1560)</f>
        <v>544.79999999999995</v>
      </c>
      <c r="P1559" s="185" t="e">
        <f>VLOOKUP(G1559,[13]COMPOSIÇÕES!$A$3:$F$2740,6,FALSE())</f>
        <v>#N/A</v>
      </c>
    </row>
    <row r="1560" spans="1:16" hidden="1" outlineLevel="2">
      <c r="E1560" s="20"/>
      <c r="F1560" s="21"/>
      <c r="G1560" s="22"/>
      <c r="H1560" s="23"/>
      <c r="I1560" s="24"/>
      <c r="J1560" s="32"/>
      <c r="K1560" s="64"/>
      <c r="L1560" s="32"/>
      <c r="M1560" s="10"/>
      <c r="N1560" s="33">
        <f>293.4+251.4</f>
        <v>544.79999999999995</v>
      </c>
      <c r="O1560" s="58">
        <f>ROUND(PRODUCT(J1560:N1560),2)</f>
        <v>544.79999999999995</v>
      </c>
    </row>
    <row r="1561" spans="1:16" hidden="1" outlineLevel="1">
      <c r="A1561" s="2">
        <v>5</v>
      </c>
      <c r="B1561" s="2">
        <v>14</v>
      </c>
      <c r="C1561" s="2">
        <f>1+C1559</f>
        <v>30</v>
      </c>
      <c r="E1561" s="20" t="str">
        <f>CONCATENATE(A1561,".",B1561,".",C1561)</f>
        <v>5.14.30</v>
      </c>
      <c r="F1561" s="21" t="s">
        <v>3447</v>
      </c>
      <c r="G1561" s="22" t="s">
        <v>3448</v>
      </c>
      <c r="H1561" s="23" t="s">
        <v>3449</v>
      </c>
      <c r="I1561" s="24" t="s">
        <v>3390</v>
      </c>
      <c r="J1561" s="32"/>
      <c r="K1561" s="10"/>
      <c r="L1561" s="32"/>
      <c r="M1561" s="10"/>
      <c r="N1561" s="33"/>
      <c r="O1561" s="11">
        <f>SUM(O1562)</f>
        <v>2</v>
      </c>
      <c r="P1561" s="185" t="e">
        <f>VLOOKUP(G1561,[13]COMPOSIÇÕES!$A$3:$F$2740,6,FALSE())</f>
        <v>#N/A</v>
      </c>
    </row>
    <row r="1562" spans="1:16" hidden="1" outlineLevel="2">
      <c r="E1562" s="20"/>
      <c r="F1562" s="21"/>
      <c r="G1562" s="22"/>
      <c r="H1562" s="23"/>
      <c r="I1562" s="24"/>
      <c r="J1562" s="32"/>
      <c r="K1562" s="64"/>
      <c r="L1562" s="32"/>
      <c r="M1562" s="10"/>
      <c r="N1562" s="33">
        <v>2</v>
      </c>
      <c r="O1562" s="58">
        <f>ROUND(PRODUCT(J1562:N1562),2)</f>
        <v>2</v>
      </c>
    </row>
    <row r="1563" spans="1:16" hidden="1" outlineLevel="1">
      <c r="A1563" s="2">
        <v>5</v>
      </c>
      <c r="B1563" s="2">
        <v>14</v>
      </c>
      <c r="C1563" s="2">
        <f>1+C1561</f>
        <v>31</v>
      </c>
      <c r="E1563" s="20" t="str">
        <f>CONCATENATE(A1563,".",B1563,".",C1563)</f>
        <v>5.14.31</v>
      </c>
      <c r="F1563" s="21" t="s">
        <v>3450</v>
      </c>
      <c r="G1563" s="22" t="s">
        <v>3451</v>
      </c>
      <c r="H1563" s="23" t="s">
        <v>3452</v>
      </c>
      <c r="I1563" s="24" t="s">
        <v>3390</v>
      </c>
      <c r="J1563" s="32"/>
      <c r="K1563" s="10"/>
      <c r="L1563" s="32"/>
      <c r="M1563" s="10"/>
      <c r="N1563" s="33"/>
      <c r="O1563" s="11">
        <f>SUM(O1564)</f>
        <v>14</v>
      </c>
      <c r="P1563" s="185" t="e">
        <f>VLOOKUP(G1563,[13]COMPOSIÇÕES!$A$3:$F$2740,6,FALSE())</f>
        <v>#N/A</v>
      </c>
    </row>
    <row r="1564" spans="1:16" hidden="1" outlineLevel="2">
      <c r="E1564" s="20"/>
      <c r="F1564" s="21"/>
      <c r="G1564" s="22"/>
      <c r="H1564" s="23"/>
      <c r="I1564" s="24"/>
      <c r="J1564" s="32"/>
      <c r="K1564" s="64"/>
      <c r="L1564" s="32"/>
      <c r="M1564" s="10"/>
      <c r="N1564" s="33">
        <v>14</v>
      </c>
      <c r="O1564" s="58">
        <f>ROUND(PRODUCT(J1564:N1564),2)</f>
        <v>14</v>
      </c>
    </row>
    <row r="1565" spans="1:16" hidden="1" outlineLevel="1">
      <c r="A1565" s="2">
        <v>5</v>
      </c>
      <c r="B1565" s="2">
        <v>14</v>
      </c>
      <c r="C1565" s="2">
        <f>1+C1563</f>
        <v>32</v>
      </c>
      <c r="E1565" s="20" t="str">
        <f>CONCATENATE(A1565,".",B1565,".",C1565)</f>
        <v>5.14.32</v>
      </c>
      <c r="F1565" s="21" t="s">
        <v>3453</v>
      </c>
      <c r="G1565" s="22" t="s">
        <v>3454</v>
      </c>
      <c r="H1565" s="23" t="s">
        <v>3455</v>
      </c>
      <c r="I1565" s="24" t="s">
        <v>3390</v>
      </c>
      <c r="J1565" s="32"/>
      <c r="K1565" s="10"/>
      <c r="L1565" s="32"/>
      <c r="M1565" s="10"/>
      <c r="N1565" s="33"/>
      <c r="O1565" s="11">
        <f>SUM(O1566)</f>
        <v>37</v>
      </c>
      <c r="P1565" s="185" t="e">
        <f>VLOOKUP(G1565,[13]COMPOSIÇÕES!$A$3:$F$2740,6,FALSE())</f>
        <v>#N/A</v>
      </c>
    </row>
    <row r="1566" spans="1:16" hidden="1" outlineLevel="2">
      <c r="E1566" s="20"/>
      <c r="F1566" s="21"/>
      <c r="G1566" s="22"/>
      <c r="H1566" s="23"/>
      <c r="I1566" s="24"/>
      <c r="J1566" s="32"/>
      <c r="K1566" s="64"/>
      <c r="L1566" s="32"/>
      <c r="M1566" s="10"/>
      <c r="N1566" s="33">
        <v>37</v>
      </c>
      <c r="O1566" s="58">
        <f>ROUND(PRODUCT(J1566:N1566),2)</f>
        <v>37</v>
      </c>
    </row>
    <row r="1567" spans="1:16" hidden="1" outlineLevel="1">
      <c r="A1567" s="2">
        <v>5</v>
      </c>
      <c r="B1567" s="2">
        <v>14</v>
      </c>
      <c r="C1567" s="2">
        <f>1+C1565</f>
        <v>33</v>
      </c>
      <c r="E1567" s="20" t="str">
        <f>CONCATENATE(A1567,".",B1567,".",C1567)</f>
        <v>5.14.33</v>
      </c>
      <c r="F1567" s="21" t="s">
        <v>3456</v>
      </c>
      <c r="G1567" s="22" t="s">
        <v>3457</v>
      </c>
      <c r="H1567" s="23" t="s">
        <v>3458</v>
      </c>
      <c r="I1567" s="24" t="s">
        <v>3390</v>
      </c>
      <c r="J1567" s="32"/>
      <c r="K1567" s="10"/>
      <c r="L1567" s="32"/>
      <c r="M1567" s="10"/>
      <c r="N1567" s="33"/>
      <c r="O1567" s="11">
        <f>SUM(O1568)</f>
        <v>6</v>
      </c>
      <c r="P1567" s="185" t="e">
        <f>VLOOKUP(G1567,[13]COMPOSIÇÕES!$A$3:$F$2740,6,FALSE())</f>
        <v>#N/A</v>
      </c>
    </row>
    <row r="1568" spans="1:16" hidden="1" outlineLevel="2">
      <c r="E1568" s="20"/>
      <c r="F1568" s="21"/>
      <c r="G1568" s="22"/>
      <c r="H1568" s="23"/>
      <c r="I1568" s="24"/>
      <c r="J1568" s="32"/>
      <c r="K1568" s="64"/>
      <c r="L1568" s="32"/>
      <c r="M1568" s="10"/>
      <c r="N1568" s="33">
        <v>6</v>
      </c>
      <c r="O1568" s="58">
        <f>ROUND(PRODUCT(J1568:N1568),2)</f>
        <v>6</v>
      </c>
    </row>
    <row r="1569" spans="1:16" hidden="1" outlineLevel="1">
      <c r="A1569" s="2">
        <v>5</v>
      </c>
      <c r="B1569" s="2">
        <v>14</v>
      </c>
      <c r="C1569" s="2">
        <f>1+C1567</f>
        <v>34</v>
      </c>
      <c r="E1569" s="20" t="str">
        <f>CONCATENATE(A1569,".",B1569,".",C1569)</f>
        <v>5.14.34</v>
      </c>
      <c r="F1569" s="21" t="s">
        <v>3459</v>
      </c>
      <c r="G1569" s="22" t="s">
        <v>3460</v>
      </c>
      <c r="H1569" s="23" t="s">
        <v>3461</v>
      </c>
      <c r="I1569" s="24" t="s">
        <v>3390</v>
      </c>
      <c r="J1569" s="32"/>
      <c r="K1569" s="10"/>
      <c r="L1569" s="32"/>
      <c r="M1569" s="10"/>
      <c r="N1569" s="33"/>
      <c r="O1569" s="11">
        <f>SUM(O1570)</f>
        <v>1</v>
      </c>
      <c r="P1569" s="185" t="e">
        <f>VLOOKUP(G1569,[13]COMPOSIÇÕES!$A$3:$F$2740,6,FALSE())</f>
        <v>#N/A</v>
      </c>
    </row>
    <row r="1570" spans="1:16" hidden="1" outlineLevel="2">
      <c r="E1570" s="20"/>
      <c r="F1570" s="21"/>
      <c r="G1570" s="22"/>
      <c r="H1570" s="23"/>
      <c r="I1570" s="24"/>
      <c r="J1570" s="32"/>
      <c r="K1570" s="64"/>
      <c r="L1570" s="32"/>
      <c r="M1570" s="10"/>
      <c r="N1570" s="33">
        <v>1</v>
      </c>
      <c r="O1570" s="58">
        <f>ROUND(PRODUCT(J1570:N1570),2)</f>
        <v>1</v>
      </c>
    </row>
    <row r="1571" spans="1:16" hidden="1" outlineLevel="1">
      <c r="A1571" s="2">
        <v>5</v>
      </c>
      <c r="B1571" s="2">
        <v>14</v>
      </c>
      <c r="C1571" s="2">
        <f>1+C1569</f>
        <v>35</v>
      </c>
      <c r="E1571" s="20" t="str">
        <f>CONCATENATE(A1571,".",B1571,".",C1571)</f>
        <v>5.14.35</v>
      </c>
      <c r="F1571" s="21" t="s">
        <v>3462</v>
      </c>
      <c r="G1571" s="22" t="s">
        <v>3463</v>
      </c>
      <c r="H1571" s="23" t="s">
        <v>3464</v>
      </c>
      <c r="I1571" s="24" t="s">
        <v>3390</v>
      </c>
      <c r="J1571" s="32"/>
      <c r="K1571" s="10"/>
      <c r="L1571" s="32"/>
      <c r="M1571" s="10"/>
      <c r="N1571" s="33"/>
      <c r="O1571" s="11">
        <f>SUM(O1572)</f>
        <v>3.5</v>
      </c>
      <c r="P1571" s="185" t="e">
        <f>VLOOKUP(G1571,[13]COMPOSIÇÕES!$A$3:$F$2740,6,FALSE())</f>
        <v>#N/A</v>
      </c>
    </row>
    <row r="1572" spans="1:16" hidden="1" outlineLevel="2">
      <c r="E1572" s="20"/>
      <c r="F1572" s="21"/>
      <c r="G1572" s="22"/>
      <c r="H1572" s="23"/>
      <c r="I1572" s="24"/>
      <c r="J1572" s="32"/>
      <c r="K1572" s="64"/>
      <c r="L1572" s="32"/>
      <c r="M1572" s="10"/>
      <c r="N1572" s="33">
        <v>3.5</v>
      </c>
      <c r="O1572" s="58">
        <f>ROUND(PRODUCT(J1572:N1572),2)</f>
        <v>3.5</v>
      </c>
    </row>
    <row r="1573" spans="1:16" hidden="1" outlineLevel="1">
      <c r="A1573" s="2">
        <v>5</v>
      </c>
      <c r="B1573" s="2">
        <v>14</v>
      </c>
      <c r="C1573" s="2">
        <f>1+C1571</f>
        <v>36</v>
      </c>
      <c r="E1573" s="20" t="str">
        <f>CONCATENATE(A1573,".",B1573,".",C1573)</f>
        <v>5.14.36</v>
      </c>
      <c r="F1573" s="21" t="s">
        <v>3465</v>
      </c>
      <c r="G1573" s="22" t="s">
        <v>3466</v>
      </c>
      <c r="H1573" s="23" t="s">
        <v>3467</v>
      </c>
      <c r="I1573" s="24" t="s">
        <v>3390</v>
      </c>
      <c r="J1573" s="32"/>
      <c r="K1573" s="10"/>
      <c r="L1573" s="32"/>
      <c r="M1573" s="10"/>
      <c r="N1573" s="33"/>
      <c r="O1573" s="11">
        <f>SUM(O1574)</f>
        <v>528.5</v>
      </c>
      <c r="P1573" s="185" t="e">
        <f>VLOOKUP(G1573,[13]COMPOSIÇÕES!$A$3:$F$2740,6,FALSE())</f>
        <v>#N/A</v>
      </c>
    </row>
    <row r="1574" spans="1:16" hidden="1" outlineLevel="2">
      <c r="E1574" s="20"/>
      <c r="F1574" s="21"/>
      <c r="G1574" s="22"/>
      <c r="H1574" s="23"/>
      <c r="I1574" s="24"/>
      <c r="J1574" s="32"/>
      <c r="K1574" s="64"/>
      <c r="L1574" s="32"/>
      <c r="M1574" s="10"/>
      <c r="N1574" s="33">
        <v>528.5</v>
      </c>
      <c r="O1574" s="58">
        <f>ROUND(PRODUCT(J1574:N1574),2)</f>
        <v>528.5</v>
      </c>
    </row>
    <row r="1575" spans="1:16" hidden="1" outlineLevel="1">
      <c r="A1575" s="2">
        <v>5</v>
      </c>
      <c r="B1575" s="2">
        <v>14</v>
      </c>
      <c r="C1575" s="2">
        <f>1+C1573</f>
        <v>37</v>
      </c>
      <c r="E1575" s="20" t="str">
        <f>CONCATENATE(A1575,".",B1575,".",C1575)</f>
        <v>5.14.37</v>
      </c>
      <c r="F1575" s="21" t="s">
        <v>3468</v>
      </c>
      <c r="G1575" s="22" t="s">
        <v>3469</v>
      </c>
      <c r="H1575" s="23" t="s">
        <v>3470</v>
      </c>
      <c r="I1575" s="24" t="s">
        <v>3390</v>
      </c>
      <c r="J1575" s="32"/>
      <c r="K1575" s="10"/>
      <c r="L1575" s="32"/>
      <c r="M1575" s="10"/>
      <c r="N1575" s="33"/>
      <c r="O1575" s="11">
        <f>SUM(O1576)</f>
        <v>226</v>
      </c>
      <c r="P1575" s="185" t="e">
        <f>VLOOKUP(G1575,[13]COMPOSIÇÕES!$A$3:$F$2740,6,FALSE())</f>
        <v>#N/A</v>
      </c>
    </row>
    <row r="1576" spans="1:16" hidden="1" outlineLevel="2">
      <c r="E1576" s="20"/>
      <c r="F1576" s="21"/>
      <c r="G1576" s="22"/>
      <c r="H1576" s="23"/>
      <c r="I1576" s="24"/>
      <c r="J1576" s="32"/>
      <c r="K1576" s="64"/>
      <c r="L1576" s="32"/>
      <c r="M1576" s="10"/>
      <c r="N1576" s="33">
        <f>3+223</f>
        <v>226</v>
      </c>
      <c r="O1576" s="58">
        <f>ROUND(PRODUCT(J1576:N1576),2)</f>
        <v>226</v>
      </c>
    </row>
    <row r="1577" spans="1:16" hidden="1" outlineLevel="1">
      <c r="A1577" s="2">
        <v>5</v>
      </c>
      <c r="B1577" s="2">
        <v>14</v>
      </c>
      <c r="C1577" s="2">
        <f>1+C1575</f>
        <v>38</v>
      </c>
      <c r="E1577" s="20" t="str">
        <f>CONCATENATE(A1577,".",B1577,".",C1577)</f>
        <v>5.14.38</v>
      </c>
      <c r="F1577" s="21" t="s">
        <v>3471</v>
      </c>
      <c r="G1577" s="22" t="s">
        <v>3472</v>
      </c>
      <c r="H1577" s="23" t="s">
        <v>3473</v>
      </c>
      <c r="I1577" s="24" t="s">
        <v>3390</v>
      </c>
      <c r="J1577" s="32"/>
      <c r="K1577" s="10"/>
      <c r="L1577" s="32"/>
      <c r="M1577" s="10"/>
      <c r="N1577" s="33"/>
      <c r="O1577" s="11">
        <f>SUM(O1578)</f>
        <v>6</v>
      </c>
      <c r="P1577" s="185" t="e">
        <f>VLOOKUP(H1577,[13]COMPOSIÇÕES!$C$3:$F$2740,4,FALSE())</f>
        <v>#N/A</v>
      </c>
    </row>
    <row r="1578" spans="1:16" hidden="1" outlineLevel="2">
      <c r="E1578" s="20"/>
      <c r="F1578" s="21"/>
      <c r="G1578" s="22"/>
      <c r="H1578" s="23"/>
      <c r="I1578" s="24"/>
      <c r="J1578" s="32"/>
      <c r="K1578" s="64"/>
      <c r="L1578" s="32"/>
      <c r="M1578" s="10"/>
      <c r="N1578" s="33">
        <v>6</v>
      </c>
      <c r="O1578" s="58">
        <f>ROUND(PRODUCT(J1578:N1578),2)</f>
        <v>6</v>
      </c>
    </row>
    <row r="1579" spans="1:16" hidden="1" outlineLevel="1">
      <c r="A1579" s="2">
        <v>5</v>
      </c>
      <c r="B1579" s="2">
        <v>14</v>
      </c>
      <c r="C1579" s="2">
        <f>1+C1577</f>
        <v>39</v>
      </c>
      <c r="E1579" s="20" t="str">
        <f>CONCATENATE(A1579,".",B1579,".",C1579)</f>
        <v>5.14.39</v>
      </c>
      <c r="F1579" s="21" t="s">
        <v>3474</v>
      </c>
      <c r="G1579" s="22" t="s">
        <v>3475</v>
      </c>
      <c r="H1579" s="23" t="s">
        <v>3476</v>
      </c>
      <c r="I1579" s="24" t="s">
        <v>3390</v>
      </c>
      <c r="J1579" s="32"/>
      <c r="K1579" s="10"/>
      <c r="L1579" s="32"/>
      <c r="M1579" s="10"/>
      <c r="N1579" s="33"/>
      <c r="O1579" s="11">
        <f>SUM(O1580)</f>
        <v>32</v>
      </c>
      <c r="P1579" s="185" t="str">
        <f>VLOOKUP(H1579,[13]COMPOSIÇÕES!$C$3:$F$2740,4,FALSE())</f>
        <v>OK</v>
      </c>
    </row>
    <row r="1580" spans="1:16" hidden="1" outlineLevel="2">
      <c r="E1580" s="20"/>
      <c r="F1580" s="21"/>
      <c r="G1580" s="22"/>
      <c r="H1580" s="23"/>
      <c r="I1580" s="24"/>
      <c r="J1580" s="32"/>
      <c r="K1580" s="64"/>
      <c r="L1580" s="32"/>
      <c r="M1580" s="10"/>
      <c r="N1580" s="33">
        <v>32</v>
      </c>
      <c r="O1580" s="58">
        <f>ROUND(PRODUCT(J1580:N1580),2)</f>
        <v>32</v>
      </c>
    </row>
    <row r="1581" spans="1:16" hidden="1" outlineLevel="1">
      <c r="A1581" s="2">
        <v>5</v>
      </c>
      <c r="B1581" s="2">
        <v>14</v>
      </c>
      <c r="C1581" s="2">
        <f>1+C1579</f>
        <v>40</v>
      </c>
      <c r="E1581" s="20" t="str">
        <f>CONCATENATE(A1581,".",B1581,".",C1581)</f>
        <v>5.14.40</v>
      </c>
      <c r="F1581" s="21" t="s">
        <v>3477</v>
      </c>
      <c r="G1581" s="22" t="s">
        <v>3478</v>
      </c>
      <c r="H1581" s="23" t="s">
        <v>3479</v>
      </c>
      <c r="I1581" s="24" t="s">
        <v>3390</v>
      </c>
      <c r="J1581" s="32"/>
      <c r="K1581" s="10"/>
      <c r="L1581" s="32"/>
      <c r="M1581" s="10"/>
      <c r="N1581" s="33"/>
      <c r="O1581" s="11">
        <f>SUM(O1582)</f>
        <v>5</v>
      </c>
      <c r="P1581" s="185" t="e">
        <f>VLOOKUP(H1581,[13]COMPOSIÇÕES!$C$3:$F$2740,4,FALSE())</f>
        <v>#N/A</v>
      </c>
    </row>
    <row r="1582" spans="1:16" hidden="1" outlineLevel="2">
      <c r="E1582" s="20"/>
      <c r="F1582" s="21"/>
      <c r="G1582" s="22"/>
      <c r="H1582" s="23"/>
      <c r="I1582" s="24"/>
      <c r="J1582" s="32"/>
      <c r="K1582" s="64"/>
      <c r="L1582" s="32"/>
      <c r="M1582" s="10"/>
      <c r="N1582" s="33">
        <v>5</v>
      </c>
      <c r="O1582" s="58">
        <f>ROUND(PRODUCT(J1582:N1582),2)</f>
        <v>5</v>
      </c>
    </row>
    <row r="1583" spans="1:16" hidden="1" outlineLevel="1">
      <c r="A1583" s="2">
        <v>5</v>
      </c>
      <c r="B1583" s="2">
        <v>14</v>
      </c>
      <c r="C1583" s="2">
        <f>1+C1581</f>
        <v>41</v>
      </c>
      <c r="E1583" s="20" t="str">
        <f>CONCATENATE(A1583,".",B1583,".",C1583)</f>
        <v>5.14.41</v>
      </c>
      <c r="F1583" s="21" t="s">
        <v>3480</v>
      </c>
      <c r="G1583" s="22" t="s">
        <v>3481</v>
      </c>
      <c r="H1583" s="23" t="s">
        <v>3482</v>
      </c>
      <c r="I1583" s="24" t="s">
        <v>3390</v>
      </c>
      <c r="J1583" s="32"/>
      <c r="K1583" s="10"/>
      <c r="L1583" s="32"/>
      <c r="M1583" s="10"/>
      <c r="N1583" s="33"/>
      <c r="O1583" s="11">
        <f>SUM(O1584)</f>
        <v>64</v>
      </c>
      <c r="P1583" s="185" t="e">
        <f>VLOOKUP(H1583,[13]COMPOSIÇÕES!$C$3:$F$2740,4,FALSE())</f>
        <v>#N/A</v>
      </c>
    </row>
    <row r="1584" spans="1:16" hidden="1" outlineLevel="2">
      <c r="E1584" s="20"/>
      <c r="F1584" s="21"/>
      <c r="G1584" s="22"/>
      <c r="H1584" s="23"/>
      <c r="I1584" s="24"/>
      <c r="J1584" s="32"/>
      <c r="K1584" s="64"/>
      <c r="L1584" s="32"/>
      <c r="M1584" s="10"/>
      <c r="N1584" s="33">
        <v>64</v>
      </c>
      <c r="O1584" s="58">
        <f>ROUND(PRODUCT(J1584:N1584),2)</f>
        <v>64</v>
      </c>
    </row>
    <row r="1585" spans="1:16" hidden="1" outlineLevel="1">
      <c r="A1585" s="2">
        <v>5</v>
      </c>
      <c r="B1585" s="2">
        <v>14</v>
      </c>
      <c r="C1585" s="2">
        <f>1+C1583</f>
        <v>42</v>
      </c>
      <c r="E1585" s="20" t="str">
        <f>CONCATENATE(A1585,".",B1585,".",C1585)</f>
        <v>5.14.42</v>
      </c>
      <c r="F1585" s="21" t="s">
        <v>3483</v>
      </c>
      <c r="G1585" s="22" t="s">
        <v>3484</v>
      </c>
      <c r="H1585" s="23" t="s">
        <v>3485</v>
      </c>
      <c r="I1585" s="24" t="s">
        <v>3390</v>
      </c>
      <c r="J1585" s="32"/>
      <c r="K1585" s="10"/>
      <c r="L1585" s="32"/>
      <c r="M1585" s="10"/>
      <c r="N1585" s="33"/>
      <c r="O1585" s="11">
        <f>SUM(O1586)</f>
        <v>1</v>
      </c>
      <c r="P1585" s="185" t="e">
        <f>VLOOKUP(H1585,[13]COMPOSIÇÕES!$C$3:$F$2740,4,FALSE())</f>
        <v>#N/A</v>
      </c>
    </row>
    <row r="1586" spans="1:16" hidden="1" outlineLevel="2">
      <c r="E1586" s="20"/>
      <c r="F1586" s="21"/>
      <c r="G1586" s="22"/>
      <c r="H1586" s="23"/>
      <c r="I1586" s="24"/>
      <c r="J1586" s="32"/>
      <c r="K1586" s="64"/>
      <c r="L1586" s="32"/>
      <c r="M1586" s="10"/>
      <c r="N1586" s="33">
        <v>1</v>
      </c>
      <c r="O1586" s="58">
        <f>ROUND(PRODUCT(J1586:N1586),2)</f>
        <v>1</v>
      </c>
    </row>
    <row r="1587" spans="1:16" hidden="1" outlineLevel="1">
      <c r="A1587" s="2">
        <v>5</v>
      </c>
      <c r="B1587" s="2">
        <v>14</v>
      </c>
      <c r="C1587" s="2">
        <f>1+C1585</f>
        <v>43</v>
      </c>
      <c r="E1587" s="20" t="str">
        <f>CONCATENATE(A1587,".",B1587,".",C1587)</f>
        <v>5.14.43</v>
      </c>
      <c r="F1587" s="21" t="s">
        <v>3486</v>
      </c>
      <c r="G1587" s="22" t="s">
        <v>3487</v>
      </c>
      <c r="H1587" s="23" t="s">
        <v>3488</v>
      </c>
      <c r="I1587" s="24" t="s">
        <v>3390</v>
      </c>
      <c r="J1587" s="32"/>
      <c r="K1587" s="10"/>
      <c r="L1587" s="32"/>
      <c r="M1587" s="10"/>
      <c r="N1587" s="33"/>
      <c r="O1587" s="11">
        <f>SUM(O1588)</f>
        <v>4</v>
      </c>
      <c r="P1587" s="185" t="e">
        <f>VLOOKUP(H1587,[13]COMPOSIÇÕES!$C$3:$F$2740,4,FALSE())</f>
        <v>#N/A</v>
      </c>
    </row>
    <row r="1588" spans="1:16" hidden="1" outlineLevel="2">
      <c r="E1588" s="20"/>
      <c r="F1588" s="21"/>
      <c r="G1588" s="22"/>
      <c r="H1588" s="23"/>
      <c r="I1588" s="24"/>
      <c r="J1588" s="32"/>
      <c r="K1588" s="64"/>
      <c r="L1588" s="32"/>
      <c r="M1588" s="10"/>
      <c r="N1588" s="33">
        <v>4</v>
      </c>
      <c r="O1588" s="58">
        <f>ROUND(PRODUCT(J1588:N1588),2)</f>
        <v>4</v>
      </c>
    </row>
    <row r="1589" spans="1:16" hidden="1" outlineLevel="1">
      <c r="A1589" s="2">
        <v>5</v>
      </c>
      <c r="B1589" s="2">
        <v>14</v>
      </c>
      <c r="C1589" s="2">
        <f>1+C1587</f>
        <v>44</v>
      </c>
      <c r="E1589" s="20" t="str">
        <f>CONCATENATE(A1589,".",B1589,".",C1589)</f>
        <v>5.14.44</v>
      </c>
      <c r="F1589" s="21" t="s">
        <v>3489</v>
      </c>
      <c r="G1589" s="22" t="s">
        <v>3490</v>
      </c>
      <c r="H1589" s="23" t="s">
        <v>3491</v>
      </c>
      <c r="I1589" s="24" t="s">
        <v>3390</v>
      </c>
      <c r="J1589" s="32"/>
      <c r="K1589" s="10"/>
      <c r="L1589" s="32"/>
      <c r="M1589" s="10"/>
      <c r="N1589" s="33"/>
      <c r="O1589" s="11">
        <f>SUM(O1590)</f>
        <v>1</v>
      </c>
      <c r="P1589" s="185" t="e">
        <f>VLOOKUP(H1589,[13]COMPOSIÇÕES!$C$3:$F$2740,4,FALSE())</f>
        <v>#N/A</v>
      </c>
    </row>
    <row r="1590" spans="1:16" hidden="1" outlineLevel="2">
      <c r="E1590" s="20"/>
      <c r="F1590" s="21"/>
      <c r="G1590" s="22"/>
      <c r="H1590" s="23"/>
      <c r="I1590" s="24"/>
      <c r="J1590" s="32"/>
      <c r="K1590" s="64"/>
      <c r="L1590" s="32"/>
      <c r="M1590" s="10"/>
      <c r="N1590" s="33">
        <v>1</v>
      </c>
      <c r="O1590" s="58">
        <f>ROUND(PRODUCT(J1590:N1590),2)</f>
        <v>1</v>
      </c>
    </row>
    <row r="1591" spans="1:16" hidden="1" outlineLevel="1">
      <c r="A1591" s="2">
        <v>5</v>
      </c>
      <c r="B1591" s="2">
        <v>14</v>
      </c>
      <c r="C1591" s="2">
        <f>1+C1589</f>
        <v>45</v>
      </c>
      <c r="E1591" s="20" t="str">
        <f>CONCATENATE(A1591,".",B1591,".",C1591)</f>
        <v>5.14.45</v>
      </c>
      <c r="F1591" s="21" t="s">
        <v>3492</v>
      </c>
      <c r="G1591" s="22" t="s">
        <v>3493</v>
      </c>
      <c r="H1591" s="23" t="s">
        <v>3494</v>
      </c>
      <c r="I1591" s="24" t="s">
        <v>3390</v>
      </c>
      <c r="J1591" s="32"/>
      <c r="K1591" s="10"/>
      <c r="L1591" s="32"/>
      <c r="M1591" s="10"/>
      <c r="N1591" s="33"/>
      <c r="O1591" s="11">
        <f>SUM(O1592)</f>
        <v>27</v>
      </c>
      <c r="P1591" s="185" t="e">
        <f>VLOOKUP(H1591,[13]COMPOSIÇÕES!$C$3:$F$2740,4,FALSE())</f>
        <v>#N/A</v>
      </c>
    </row>
    <row r="1592" spans="1:16" hidden="1" outlineLevel="2">
      <c r="E1592" s="20"/>
      <c r="F1592" s="21"/>
      <c r="G1592" s="22"/>
      <c r="H1592" s="23"/>
      <c r="I1592" s="24"/>
      <c r="J1592" s="32"/>
      <c r="K1592" s="64"/>
      <c r="L1592" s="32"/>
      <c r="M1592" s="10"/>
      <c r="N1592" s="33">
        <v>27</v>
      </c>
      <c r="O1592" s="58">
        <f>ROUND(PRODUCT(J1592:N1592),2)</f>
        <v>27</v>
      </c>
    </row>
    <row r="1593" spans="1:16" hidden="1" outlineLevel="1">
      <c r="A1593" s="2">
        <v>5</v>
      </c>
      <c r="B1593" s="2">
        <v>14</v>
      </c>
      <c r="C1593" s="2">
        <f>1+C1591</f>
        <v>46</v>
      </c>
      <c r="E1593" s="20" t="str">
        <f>CONCATENATE(A1593,".",B1593,".",C1593)</f>
        <v>5.14.46</v>
      </c>
      <c r="F1593" s="21" t="s">
        <v>3495</v>
      </c>
      <c r="G1593" s="22" t="s">
        <v>3496</v>
      </c>
      <c r="H1593" s="23" t="s">
        <v>3497</v>
      </c>
      <c r="I1593" s="24" t="s">
        <v>3390</v>
      </c>
      <c r="J1593" s="32"/>
      <c r="K1593" s="10"/>
      <c r="L1593" s="32"/>
      <c r="M1593" s="10"/>
      <c r="N1593" s="33"/>
      <c r="O1593" s="11">
        <f>SUM(O1594)</f>
        <v>51</v>
      </c>
      <c r="P1593" s="185" t="e">
        <f>VLOOKUP(H1593,[13]COMPOSIÇÕES!$C$3:$F$2740,4,FALSE())</f>
        <v>#N/A</v>
      </c>
    </row>
    <row r="1594" spans="1:16" hidden="1" outlineLevel="2">
      <c r="E1594" s="20"/>
      <c r="F1594" s="21"/>
      <c r="G1594" s="22"/>
      <c r="H1594" s="23"/>
      <c r="I1594" s="24"/>
      <c r="J1594" s="32"/>
      <c r="K1594" s="64"/>
      <c r="L1594" s="32"/>
      <c r="M1594" s="10"/>
      <c r="N1594" s="33">
        <v>51</v>
      </c>
      <c r="O1594" s="58">
        <f>ROUND(PRODUCT(J1594:N1594),2)</f>
        <v>51</v>
      </c>
    </row>
    <row r="1595" spans="1:16" hidden="1" outlineLevel="1">
      <c r="A1595" s="2">
        <v>5</v>
      </c>
      <c r="B1595" s="2">
        <v>14</v>
      </c>
      <c r="C1595" s="2">
        <f>1+C1593</f>
        <v>47</v>
      </c>
      <c r="E1595" s="20" t="str">
        <f>CONCATENATE(A1595,".",B1595,".",C1595)</f>
        <v>5.14.47</v>
      </c>
      <c r="F1595" s="21" t="s">
        <v>3498</v>
      </c>
      <c r="G1595" s="22" t="s">
        <v>3499</v>
      </c>
      <c r="H1595" s="23" t="s">
        <v>3420</v>
      </c>
      <c r="I1595" s="24" t="s">
        <v>3390</v>
      </c>
      <c r="J1595" s="32"/>
      <c r="K1595" s="10"/>
      <c r="L1595" s="32"/>
      <c r="M1595" s="10"/>
      <c r="N1595" s="33"/>
      <c r="O1595" s="11">
        <f>SUM(O1596)</f>
        <v>1</v>
      </c>
      <c r="P1595" s="185" t="e">
        <f>VLOOKUP(H1595,[13]COMPOSIÇÕES!$C$3:$F$2740,4,FALSE())</f>
        <v>#N/A</v>
      </c>
    </row>
    <row r="1596" spans="1:16" hidden="1" outlineLevel="2">
      <c r="E1596" s="20"/>
      <c r="F1596" s="21"/>
      <c r="G1596" s="22"/>
      <c r="H1596" s="23"/>
      <c r="I1596" s="24"/>
      <c r="J1596" s="32"/>
      <c r="K1596" s="64"/>
      <c r="L1596" s="32"/>
      <c r="M1596" s="10"/>
      <c r="N1596" s="33">
        <v>1</v>
      </c>
      <c r="O1596" s="58">
        <f>ROUND(PRODUCT(J1596:N1596),2)</f>
        <v>1</v>
      </c>
    </row>
    <row r="1597" spans="1:16" hidden="1" outlineLevel="1">
      <c r="A1597" s="2">
        <v>5</v>
      </c>
      <c r="B1597" s="2">
        <v>14</v>
      </c>
      <c r="C1597" s="2">
        <f>1+C1595</f>
        <v>48</v>
      </c>
      <c r="E1597" s="20" t="str">
        <f>CONCATENATE(A1597,".",B1597,".",C1597)</f>
        <v>5.14.48</v>
      </c>
      <c r="F1597" s="21" t="s">
        <v>3500</v>
      </c>
      <c r="G1597" s="22" t="s">
        <v>3460</v>
      </c>
      <c r="H1597" s="23" t="s">
        <v>3461</v>
      </c>
      <c r="I1597" s="24" t="s">
        <v>3390</v>
      </c>
      <c r="J1597" s="32"/>
      <c r="K1597" s="10"/>
      <c r="L1597" s="32"/>
      <c r="M1597" s="10"/>
      <c r="N1597" s="33"/>
      <c r="O1597" s="11">
        <f>SUM(O1598)</f>
        <v>1</v>
      </c>
      <c r="P1597" s="185" t="str">
        <f>VLOOKUP(H1597,[13]COMPOSIÇÕES!$C$3:$F$2740,4,FALSE())</f>
        <v>OK</v>
      </c>
    </row>
    <row r="1598" spans="1:16" hidden="1" outlineLevel="2">
      <c r="E1598" s="20"/>
      <c r="F1598" s="21"/>
      <c r="G1598" s="22"/>
      <c r="H1598" s="23"/>
      <c r="I1598" s="24"/>
      <c r="J1598" s="32"/>
      <c r="K1598" s="64"/>
      <c r="L1598" s="32"/>
      <c r="M1598" s="10"/>
      <c r="N1598" s="33">
        <v>1</v>
      </c>
      <c r="O1598" s="58">
        <f>ROUND(PRODUCT(J1598:N1598),2)</f>
        <v>1</v>
      </c>
    </row>
    <row r="1599" spans="1:16" hidden="1" outlineLevel="1">
      <c r="A1599" s="2">
        <v>5</v>
      </c>
      <c r="B1599" s="2">
        <v>14</v>
      </c>
      <c r="C1599" s="2">
        <f>1+C1597</f>
        <v>49</v>
      </c>
      <c r="E1599" s="20" t="str">
        <f>CONCATENATE(A1599,".",B1599,".",C1599)</f>
        <v>5.14.49</v>
      </c>
      <c r="F1599" s="21" t="s">
        <v>3501</v>
      </c>
      <c r="G1599" s="22" t="s">
        <v>3502</v>
      </c>
      <c r="H1599" s="23" t="s">
        <v>3503</v>
      </c>
      <c r="I1599" s="24" t="s">
        <v>3390</v>
      </c>
      <c r="J1599" s="32"/>
      <c r="K1599" s="10"/>
      <c r="L1599" s="32"/>
      <c r="M1599" s="10"/>
      <c r="N1599" s="33"/>
      <c r="O1599" s="11">
        <f>SUM(O1600)</f>
        <v>7</v>
      </c>
      <c r="P1599" s="185" t="e">
        <f>VLOOKUP(H1599,[13]COMPOSIÇÕES!$C$3:$F$2740,4,FALSE())</f>
        <v>#N/A</v>
      </c>
    </row>
    <row r="1600" spans="1:16" hidden="1" outlineLevel="2">
      <c r="E1600" s="20"/>
      <c r="F1600" s="21"/>
      <c r="G1600" s="22"/>
      <c r="H1600" s="23"/>
      <c r="I1600" s="24"/>
      <c r="J1600" s="32"/>
      <c r="K1600" s="64"/>
      <c r="L1600" s="32"/>
      <c r="M1600" s="10"/>
      <c r="N1600" s="33">
        <v>7</v>
      </c>
      <c r="O1600" s="58">
        <f>ROUND(PRODUCT(J1600:N1600),2)</f>
        <v>7</v>
      </c>
    </row>
    <row r="1601" spans="1:16" hidden="1" outlineLevel="1">
      <c r="A1601" s="2">
        <v>5</v>
      </c>
      <c r="B1601" s="2">
        <v>14</v>
      </c>
      <c r="C1601" s="2">
        <f>1+C1599</f>
        <v>50</v>
      </c>
      <c r="E1601" s="20" t="str">
        <f>CONCATENATE(A1601,".",B1601,".",C1601)</f>
        <v>5.14.50</v>
      </c>
      <c r="F1601" s="21" t="s">
        <v>3504</v>
      </c>
      <c r="G1601" s="22" t="s">
        <v>3505</v>
      </c>
      <c r="H1601" s="23" t="s">
        <v>3506</v>
      </c>
      <c r="I1601" s="24" t="s">
        <v>3390</v>
      </c>
      <c r="J1601" s="32"/>
      <c r="K1601" s="10"/>
      <c r="L1601" s="32"/>
      <c r="M1601" s="10"/>
      <c r="N1601" s="33"/>
      <c r="O1601" s="11">
        <f>SUM(O1602)</f>
        <v>1</v>
      </c>
      <c r="P1601" s="185" t="str">
        <f>VLOOKUP(H1601,[13]COMPOSIÇÕES!$C$3:$F$2740,4,FALSE())</f>
        <v>OK</v>
      </c>
    </row>
    <row r="1602" spans="1:16" hidden="1" outlineLevel="2">
      <c r="E1602" s="20"/>
      <c r="F1602" s="21"/>
      <c r="G1602" s="22"/>
      <c r="H1602" s="23"/>
      <c r="I1602" s="24"/>
      <c r="J1602" s="32"/>
      <c r="K1602" s="64"/>
      <c r="L1602" s="32"/>
      <c r="M1602" s="10"/>
      <c r="N1602" s="33">
        <v>1</v>
      </c>
      <c r="O1602" s="58">
        <f>ROUND(PRODUCT(J1602:N1602),2)</f>
        <v>1</v>
      </c>
    </row>
    <row r="1603" spans="1:16" hidden="1" outlineLevel="1">
      <c r="A1603" s="2">
        <v>5</v>
      </c>
      <c r="B1603" s="2">
        <v>14</v>
      </c>
      <c r="C1603" s="2">
        <f>1+C1601</f>
        <v>51</v>
      </c>
      <c r="E1603" s="20" t="str">
        <f>CONCATENATE(A1603,".",B1603,".",C1603)</f>
        <v>5.14.51</v>
      </c>
      <c r="F1603" s="21" t="s">
        <v>3507</v>
      </c>
      <c r="G1603" s="22" t="s">
        <v>3508</v>
      </c>
      <c r="H1603" s="23" t="s">
        <v>3509</v>
      </c>
      <c r="I1603" s="24" t="s">
        <v>3390</v>
      </c>
      <c r="J1603" s="32"/>
      <c r="K1603" s="10"/>
      <c r="L1603" s="32"/>
      <c r="M1603" s="10"/>
      <c r="N1603" s="33"/>
      <c r="O1603" s="11">
        <f>SUM(O1604)</f>
        <v>1</v>
      </c>
      <c r="P1603" s="185" t="e">
        <f>VLOOKUP(H1603,[13]COMPOSIÇÕES!$C$3:$F$2740,4,FALSE())</f>
        <v>#N/A</v>
      </c>
    </row>
    <row r="1604" spans="1:16" hidden="1" outlineLevel="2">
      <c r="E1604" s="20"/>
      <c r="F1604" s="21"/>
      <c r="G1604" s="22"/>
      <c r="H1604" s="23"/>
      <c r="I1604" s="24"/>
      <c r="J1604" s="32"/>
      <c r="K1604" s="64"/>
      <c r="L1604" s="32"/>
      <c r="M1604" s="10"/>
      <c r="N1604" s="33">
        <v>1</v>
      </c>
      <c r="O1604" s="58">
        <f>ROUND(PRODUCT(J1604:N1604),2)</f>
        <v>1</v>
      </c>
    </row>
    <row r="1605" spans="1:16" hidden="1" outlineLevel="1">
      <c r="A1605" s="2">
        <v>5</v>
      </c>
      <c r="B1605" s="2">
        <v>14</v>
      </c>
      <c r="C1605" s="2">
        <f>1+C1603</f>
        <v>52</v>
      </c>
      <c r="E1605" s="20" t="str">
        <f>CONCATENATE(A1605,".",B1605,".",C1605)</f>
        <v>5.14.52</v>
      </c>
      <c r="F1605" s="21" t="s">
        <v>3510</v>
      </c>
      <c r="G1605" s="22" t="s">
        <v>3466</v>
      </c>
      <c r="H1605" s="23" t="s">
        <v>3467</v>
      </c>
      <c r="I1605" s="24" t="s">
        <v>3390</v>
      </c>
      <c r="J1605" s="32"/>
      <c r="K1605" s="10"/>
      <c r="L1605" s="32"/>
      <c r="M1605" s="10"/>
      <c r="N1605" s="33"/>
      <c r="O1605" s="11">
        <f>SUM(O1606)</f>
        <v>223</v>
      </c>
      <c r="P1605" s="185" t="str">
        <f>VLOOKUP(H1605,[13]COMPOSIÇÕES!$C$3:$F$2740,4,FALSE())</f>
        <v>OK</v>
      </c>
    </row>
    <row r="1606" spans="1:16" hidden="1" outlineLevel="2">
      <c r="E1606" s="20"/>
      <c r="F1606" s="21"/>
      <c r="G1606" s="22"/>
      <c r="H1606" s="23"/>
      <c r="I1606" s="24"/>
      <c r="J1606" s="32"/>
      <c r="K1606" s="64"/>
      <c r="L1606" s="32"/>
      <c r="M1606" s="10"/>
      <c r="N1606" s="33">
        <v>223</v>
      </c>
      <c r="O1606" s="58">
        <f>ROUND(PRODUCT(J1606:N1606),2)</f>
        <v>223</v>
      </c>
    </row>
    <row r="1607" spans="1:16" hidden="1" outlineLevel="1">
      <c r="A1607" s="2">
        <v>5</v>
      </c>
      <c r="B1607" s="2">
        <v>14</v>
      </c>
      <c r="C1607" s="2">
        <f>1+C1605</f>
        <v>53</v>
      </c>
      <c r="E1607" s="20" t="str">
        <f>CONCATENATE(A1607,".",B1607,".",C1607)</f>
        <v>5.14.53</v>
      </c>
      <c r="F1607" s="21" t="s">
        <v>3511</v>
      </c>
      <c r="G1607" s="22" t="s">
        <v>3512</v>
      </c>
      <c r="H1607" s="23" t="s">
        <v>3513</v>
      </c>
      <c r="I1607" s="24" t="s">
        <v>3390</v>
      </c>
      <c r="J1607" s="32"/>
      <c r="K1607" s="10"/>
      <c r="L1607" s="32"/>
      <c r="M1607" s="10"/>
      <c r="N1607" s="33"/>
      <c r="O1607" s="11">
        <f>SUM(O1608)</f>
        <v>2</v>
      </c>
      <c r="P1607" s="185" t="e">
        <f>VLOOKUP(H1607,[13]COMPOSIÇÕES!$C$3:$F$2740,4,FALSE())</f>
        <v>#N/A</v>
      </c>
    </row>
    <row r="1608" spans="1:16" hidden="1" outlineLevel="2">
      <c r="E1608" s="20"/>
      <c r="F1608" s="21"/>
      <c r="G1608" s="22"/>
      <c r="H1608" s="23"/>
      <c r="I1608" s="24"/>
      <c r="J1608" s="32"/>
      <c r="K1608" s="64"/>
      <c r="L1608" s="32"/>
      <c r="M1608" s="10"/>
      <c r="N1608" s="33">
        <v>2</v>
      </c>
      <c r="O1608" s="58">
        <f>ROUND(PRODUCT(J1608:N1608),2)</f>
        <v>2</v>
      </c>
    </row>
    <row r="1609" spans="1:16" hidden="1" outlineLevel="1">
      <c r="A1609" s="2">
        <v>5</v>
      </c>
      <c r="B1609" s="2">
        <v>14</v>
      </c>
      <c r="C1609" s="2">
        <f>1+C1607</f>
        <v>54</v>
      </c>
      <c r="E1609" s="20" t="str">
        <f>CONCATENATE(A1609,".",B1609,".",C1609)</f>
        <v>5.14.54</v>
      </c>
      <c r="F1609" s="21" t="s">
        <v>3514</v>
      </c>
      <c r="G1609" s="22" t="s">
        <v>3515</v>
      </c>
      <c r="H1609" s="23" t="s">
        <v>3516</v>
      </c>
      <c r="I1609" s="24" t="s">
        <v>3390</v>
      </c>
      <c r="J1609" s="32"/>
      <c r="K1609" s="10"/>
      <c r="L1609" s="32"/>
      <c r="M1609" s="10"/>
      <c r="N1609" s="33"/>
      <c r="O1609" s="11">
        <f>SUM(O1610)</f>
        <v>180</v>
      </c>
      <c r="P1609" s="185" t="e">
        <f>VLOOKUP(H1609,[13]COMPOSIÇÕES!$C$3:$F$2740,4,FALSE())</f>
        <v>#N/A</v>
      </c>
    </row>
    <row r="1610" spans="1:16" hidden="1" outlineLevel="2">
      <c r="E1610" s="20"/>
      <c r="F1610" s="21"/>
      <c r="G1610" s="22"/>
      <c r="H1610" s="23"/>
      <c r="I1610" s="24"/>
      <c r="J1610" s="32"/>
      <c r="K1610" s="64"/>
      <c r="L1610" s="32"/>
      <c r="M1610" s="10"/>
      <c r="N1610" s="33">
        <v>180</v>
      </c>
      <c r="O1610" s="58">
        <f>ROUND(PRODUCT(J1610:N1610),2)</f>
        <v>180</v>
      </c>
    </row>
    <row r="1611" spans="1:16" collapsed="1">
      <c r="E1611" s="52" t="s">
        <v>875</v>
      </c>
      <c r="F1611" s="53" t="s">
        <v>875</v>
      </c>
      <c r="G1611" s="13"/>
      <c r="H1611" s="14" t="s">
        <v>2659</v>
      </c>
      <c r="I1611" s="15"/>
      <c r="J1611" s="16"/>
      <c r="K1611" s="17"/>
      <c r="L1611" s="16"/>
      <c r="M1611" s="17"/>
      <c r="N1611" s="18"/>
      <c r="O1611" s="19"/>
    </row>
    <row r="1612" spans="1:16" ht="30" hidden="1" outlineLevel="1">
      <c r="A1612" s="2">
        <v>5</v>
      </c>
      <c r="B1612" s="2">
        <v>15</v>
      </c>
      <c r="C1612" s="2">
        <v>1</v>
      </c>
      <c r="E1612" s="20" t="str">
        <f>CONCATENATE(A1612,".",B1612,".",C1612)</f>
        <v>5.15.1</v>
      </c>
      <c r="F1612" s="21" t="s">
        <v>3517</v>
      </c>
      <c r="G1612" s="22">
        <v>96977</v>
      </c>
      <c r="H1612" s="23" t="s">
        <v>2662</v>
      </c>
      <c r="I1612" s="24" t="s">
        <v>144</v>
      </c>
      <c r="J1612" s="32"/>
      <c r="K1612" s="10"/>
      <c r="L1612" s="32"/>
      <c r="M1612" s="10"/>
      <c r="N1612" s="33"/>
      <c r="O1612" s="11">
        <f>SUM(O1613)</f>
        <v>660</v>
      </c>
    </row>
    <row r="1613" spans="1:16" hidden="1" outlineLevel="2">
      <c r="E1613" s="20"/>
      <c r="F1613" s="21"/>
      <c r="G1613" s="22"/>
      <c r="H1613" s="23"/>
      <c r="I1613" s="24"/>
      <c r="J1613" s="32"/>
      <c r="K1613" s="10"/>
      <c r="L1613" s="32"/>
      <c r="M1613" s="10"/>
      <c r="N1613" s="33">
        <v>660</v>
      </c>
      <c r="O1613" s="58">
        <f>ROUND(PRODUCT(J1613:N1613),2)</f>
        <v>660</v>
      </c>
    </row>
    <row r="1614" spans="1:16" ht="30" hidden="1" outlineLevel="1">
      <c r="A1614" s="2">
        <v>5</v>
      </c>
      <c r="B1614" s="2">
        <v>15</v>
      </c>
      <c r="C1614" s="2">
        <f>1+C1612</f>
        <v>2</v>
      </c>
      <c r="E1614" s="20" t="str">
        <f>CONCATENATE(A1614,".",B1614,".",C1614)</f>
        <v>5.15.2</v>
      </c>
      <c r="F1614" s="21" t="s">
        <v>3518</v>
      </c>
      <c r="G1614" s="22">
        <v>96973</v>
      </c>
      <c r="H1614" s="23" t="s">
        <v>2665</v>
      </c>
      <c r="I1614" s="24" t="s">
        <v>144</v>
      </c>
      <c r="J1614" s="32"/>
      <c r="K1614" s="10"/>
      <c r="L1614" s="32"/>
      <c r="M1614" s="10"/>
      <c r="N1614" s="33"/>
      <c r="O1614" s="11">
        <f>SUM(O1615)</f>
        <v>650</v>
      </c>
    </row>
    <row r="1615" spans="1:16" hidden="1" outlineLevel="2">
      <c r="E1615" s="20"/>
      <c r="F1615" s="21"/>
      <c r="G1615" s="22"/>
      <c r="H1615" s="23"/>
      <c r="I1615" s="24"/>
      <c r="J1615" s="32"/>
      <c r="K1615" s="10"/>
      <c r="L1615" s="32"/>
      <c r="M1615" s="10"/>
      <c r="N1615" s="33">
        <v>650</v>
      </c>
      <c r="O1615" s="58">
        <f>ROUND(PRODUCT(J1615:N1615),2)</f>
        <v>650</v>
      </c>
    </row>
    <row r="1616" spans="1:16" ht="30" hidden="1" outlineLevel="1">
      <c r="A1616" s="2">
        <v>5</v>
      </c>
      <c r="B1616" s="2">
        <v>15</v>
      </c>
      <c r="C1616" s="2">
        <f>1+C1614</f>
        <v>3</v>
      </c>
      <c r="E1616" s="20" t="str">
        <f>CONCATENATE(A1616,".",B1616,".",C1616)</f>
        <v>5.15.3</v>
      </c>
      <c r="F1616" s="21" t="s">
        <v>3519</v>
      </c>
      <c r="G1616" s="22">
        <v>96986</v>
      </c>
      <c r="H1616" s="23" t="s">
        <v>2668</v>
      </c>
      <c r="I1616" s="24" t="s">
        <v>36</v>
      </c>
      <c r="J1616" s="32"/>
      <c r="K1616" s="10"/>
      <c r="L1616" s="32"/>
      <c r="M1616" s="10"/>
      <c r="N1616" s="33"/>
      <c r="O1616" s="11">
        <f>SUM(O1617)</f>
        <v>98</v>
      </c>
    </row>
    <row r="1617" spans="1:16" hidden="1" outlineLevel="2">
      <c r="E1617" s="20"/>
      <c r="F1617" s="21"/>
      <c r="G1617" s="22"/>
      <c r="H1617" s="23"/>
      <c r="I1617" s="24"/>
      <c r="J1617" s="32"/>
      <c r="K1617" s="10"/>
      <c r="L1617" s="32"/>
      <c r="M1617" s="10"/>
      <c r="N1617" s="33">
        <v>98</v>
      </c>
      <c r="O1617" s="58">
        <f>ROUND(PRODUCT(J1617:N1617),2)</f>
        <v>98</v>
      </c>
    </row>
    <row r="1618" spans="1:16" ht="30" hidden="1" outlineLevel="1">
      <c r="A1618" s="2">
        <v>5</v>
      </c>
      <c r="B1618" s="2">
        <v>15</v>
      </c>
      <c r="C1618" s="2">
        <f>1+C1616</f>
        <v>4</v>
      </c>
      <c r="E1618" s="66" t="str">
        <f>CONCATENATE(A1618,".",B1618,".",C1618)</f>
        <v>5.15.4</v>
      </c>
      <c r="F1618" s="21" t="s">
        <v>3520</v>
      </c>
      <c r="G1618" s="22">
        <v>104749</v>
      </c>
      <c r="H1618" s="23" t="s">
        <v>3521</v>
      </c>
      <c r="I1618" s="24" t="s">
        <v>36</v>
      </c>
      <c r="J1618" s="32"/>
      <c r="K1618" s="10"/>
      <c r="L1618" s="32"/>
      <c r="M1618" s="10"/>
      <c r="N1618" s="33"/>
      <c r="O1618" s="11">
        <f>SUM(O1619)</f>
        <v>98</v>
      </c>
    </row>
    <row r="1619" spans="1:16" hidden="1" outlineLevel="2">
      <c r="E1619" s="20"/>
      <c r="F1619" s="21"/>
      <c r="G1619" s="22"/>
      <c r="H1619" s="23"/>
      <c r="I1619" s="24"/>
      <c r="J1619" s="32"/>
      <c r="K1619" s="64"/>
      <c r="L1619" s="32"/>
      <c r="M1619" s="10"/>
      <c r="N1619" s="33">
        <v>98</v>
      </c>
      <c r="O1619" s="58">
        <f>ROUND(PRODUCT(J1619:N1619),2)</f>
        <v>98</v>
      </c>
    </row>
    <row r="1620" spans="1:16" ht="30" hidden="1" outlineLevel="1">
      <c r="A1620" s="2">
        <v>5</v>
      </c>
      <c r="B1620" s="2">
        <v>15</v>
      </c>
      <c r="C1620" s="2">
        <f>1+C1618</f>
        <v>5</v>
      </c>
      <c r="E1620" s="66" t="str">
        <f>CONCATENATE(A1620,".",B1620,".",C1620)</f>
        <v>5.15.5</v>
      </c>
      <c r="F1620" s="21" t="s">
        <v>3522</v>
      </c>
      <c r="G1620" s="22">
        <v>104753</v>
      </c>
      <c r="H1620" s="23" t="s">
        <v>2674</v>
      </c>
      <c r="I1620" s="24" t="s">
        <v>36</v>
      </c>
      <c r="J1620" s="32"/>
      <c r="K1620" s="10"/>
      <c r="L1620" s="32"/>
      <c r="M1620" s="10"/>
      <c r="N1620" s="33"/>
      <c r="O1620" s="11">
        <f>SUM(O1621)</f>
        <v>188</v>
      </c>
    </row>
    <row r="1621" spans="1:16" hidden="1" outlineLevel="2">
      <c r="E1621" s="20"/>
      <c r="F1621" s="21"/>
      <c r="G1621" s="22"/>
      <c r="H1621" s="23"/>
      <c r="I1621" s="24"/>
      <c r="J1621" s="32"/>
      <c r="K1621" s="64"/>
      <c r="L1621" s="32"/>
      <c r="M1621" s="10"/>
      <c r="N1621" s="33">
        <v>188</v>
      </c>
      <c r="O1621" s="58">
        <f>ROUND(PRODUCT(J1621:N1621),2)</f>
        <v>188</v>
      </c>
    </row>
    <row r="1622" spans="1:16" ht="30" hidden="1" outlineLevel="1">
      <c r="A1622" s="2">
        <v>5</v>
      </c>
      <c r="B1622" s="2">
        <v>15</v>
      </c>
      <c r="C1622" s="2" t="e">
        <f>1+#REF!</f>
        <v>#REF!</v>
      </c>
      <c r="E1622" s="20" t="e">
        <f>CONCATENATE(A1622,".",B1622,".",C1622)</f>
        <v>#REF!</v>
      </c>
      <c r="F1622" s="21" t="s">
        <v>3523</v>
      </c>
      <c r="G1622" s="22">
        <v>98111</v>
      </c>
      <c r="H1622" s="23" t="s">
        <v>2049</v>
      </c>
      <c r="I1622" s="24" t="s">
        <v>3390</v>
      </c>
      <c r="J1622" s="32"/>
      <c r="K1622" s="10"/>
      <c r="L1622" s="32"/>
      <c r="M1622" s="10"/>
      <c r="N1622" s="33"/>
      <c r="O1622" s="11">
        <f>SUM(O1623)</f>
        <v>13</v>
      </c>
    </row>
    <row r="1623" spans="1:16" hidden="1" outlineLevel="2">
      <c r="E1623" s="20"/>
      <c r="F1623" s="21"/>
      <c r="G1623" s="22"/>
      <c r="H1623" s="23"/>
      <c r="I1623" s="24"/>
      <c r="J1623" s="32"/>
      <c r="K1623" s="64"/>
      <c r="L1623" s="32"/>
      <c r="M1623" s="10"/>
      <c r="N1623" s="33">
        <v>13</v>
      </c>
      <c r="O1623" s="58">
        <f>ROUND(PRODUCT(J1623:N1623),2)</f>
        <v>13</v>
      </c>
    </row>
    <row r="1624" spans="1:16" hidden="1" outlineLevel="1">
      <c r="A1624" s="2">
        <v>5</v>
      </c>
      <c r="B1624" s="2">
        <v>15</v>
      </c>
      <c r="C1624" s="2" t="e">
        <f>1+C1622</f>
        <v>#REF!</v>
      </c>
      <c r="E1624" s="20" t="e">
        <f>CONCATENATE(A1624,".",B1624,".",C1624)</f>
        <v>#REF!</v>
      </c>
      <c r="F1624" s="21" t="s">
        <v>3524</v>
      </c>
      <c r="G1624" s="22">
        <v>104746</v>
      </c>
      <c r="H1624" s="23" t="s">
        <v>2678</v>
      </c>
      <c r="I1624" s="24" t="s">
        <v>3390</v>
      </c>
      <c r="J1624" s="32"/>
      <c r="K1624" s="10"/>
      <c r="L1624" s="32"/>
      <c r="M1624" s="10"/>
      <c r="N1624" s="33"/>
      <c r="O1624" s="11">
        <f>SUM(O1625)</f>
        <v>94</v>
      </c>
    </row>
    <row r="1625" spans="1:16" hidden="1" outlineLevel="2">
      <c r="E1625" s="20"/>
      <c r="F1625" s="21"/>
      <c r="G1625" s="22"/>
      <c r="H1625" s="23"/>
      <c r="I1625" s="24"/>
      <c r="J1625" s="32"/>
      <c r="K1625" s="64"/>
      <c r="L1625" s="32"/>
      <c r="M1625" s="10"/>
      <c r="N1625" s="33">
        <v>94</v>
      </c>
      <c r="O1625" s="58">
        <f>ROUND(PRODUCT(J1625:N1625),2)</f>
        <v>94</v>
      </c>
    </row>
    <row r="1626" spans="1:16" ht="30" hidden="1" outlineLevel="1">
      <c r="A1626" s="2">
        <v>5</v>
      </c>
      <c r="B1626" s="2">
        <v>15</v>
      </c>
      <c r="C1626" s="2" t="e">
        <f>1+C1624</f>
        <v>#REF!</v>
      </c>
      <c r="E1626" s="20" t="e">
        <f>CONCATENATE(A1626,".",B1626,".",C1626)</f>
        <v>#REF!</v>
      </c>
      <c r="F1626" s="21" t="s">
        <v>3525</v>
      </c>
      <c r="G1626" s="22">
        <v>96984</v>
      </c>
      <c r="H1626" s="23" t="s">
        <v>2681</v>
      </c>
      <c r="I1626" s="24" t="s">
        <v>3390</v>
      </c>
      <c r="J1626" s="32"/>
      <c r="K1626" s="10"/>
      <c r="L1626" s="32"/>
      <c r="M1626" s="10"/>
      <c r="N1626" s="33"/>
      <c r="O1626" s="11">
        <f>SUM(O1627)</f>
        <v>12</v>
      </c>
    </row>
    <row r="1627" spans="1:16" hidden="1" outlineLevel="2">
      <c r="E1627" s="20"/>
      <c r="F1627" s="21"/>
      <c r="G1627" s="22"/>
      <c r="H1627" s="23"/>
      <c r="I1627" s="24"/>
      <c r="J1627" s="32"/>
      <c r="K1627" s="64"/>
      <c r="L1627" s="32"/>
      <c r="M1627" s="10"/>
      <c r="N1627" s="33">
        <v>12</v>
      </c>
      <c r="O1627" s="58">
        <f>ROUND(PRODUCT(J1627:N1627),2)</f>
        <v>12</v>
      </c>
    </row>
    <row r="1628" spans="1:16" hidden="1" outlineLevel="1">
      <c r="A1628" s="2">
        <v>5</v>
      </c>
      <c r="B1628" s="2">
        <v>15</v>
      </c>
      <c r="C1628" s="2" t="e">
        <f>1+C1626</f>
        <v>#REF!</v>
      </c>
      <c r="E1628" s="20" t="e">
        <f>CONCATENATE(A1628,".",B1628,".",C1628)</f>
        <v>#REF!</v>
      </c>
      <c r="F1628" s="21" t="s">
        <v>3526</v>
      </c>
      <c r="G1628" s="22">
        <v>125</v>
      </c>
      <c r="H1628" s="23" t="s">
        <v>2684</v>
      </c>
      <c r="I1628" s="24" t="s">
        <v>3390</v>
      </c>
      <c r="J1628" s="32"/>
      <c r="K1628" s="10"/>
      <c r="L1628" s="32"/>
      <c r="M1628" s="10"/>
      <c r="N1628" s="33"/>
      <c r="O1628" s="11">
        <f>SUM(O1629)</f>
        <v>1</v>
      </c>
    </row>
    <row r="1629" spans="1:16" hidden="1" outlineLevel="2">
      <c r="E1629" s="20"/>
      <c r="F1629" s="21"/>
      <c r="G1629" s="22"/>
      <c r="H1629" s="23"/>
      <c r="I1629" s="24"/>
      <c r="J1629" s="32"/>
      <c r="K1629" s="64"/>
      <c r="L1629" s="32"/>
      <c r="M1629" s="10"/>
      <c r="N1629" s="33">
        <v>1</v>
      </c>
      <c r="O1629" s="58">
        <f>ROUND(PRODUCT(J1629:N1629),2)</f>
        <v>1</v>
      </c>
    </row>
    <row r="1630" spans="1:16" hidden="1" outlineLevel="1">
      <c r="A1630" s="2">
        <v>5</v>
      </c>
      <c r="B1630" s="2">
        <v>15</v>
      </c>
      <c r="C1630" s="2" t="e">
        <f>1+C1628</f>
        <v>#REF!</v>
      </c>
      <c r="E1630" s="20" t="e">
        <f>CONCATENATE(A1630,".",B1630,".",C1630)</f>
        <v>#REF!</v>
      </c>
      <c r="F1630" s="21" t="s">
        <v>3527</v>
      </c>
      <c r="G1630" s="22">
        <v>126</v>
      </c>
      <c r="H1630" s="23" t="s">
        <v>2687</v>
      </c>
      <c r="I1630" s="24" t="s">
        <v>3390</v>
      </c>
      <c r="J1630" s="32"/>
      <c r="K1630" s="10"/>
      <c r="L1630" s="32"/>
      <c r="M1630" s="10"/>
      <c r="N1630" s="33"/>
      <c r="O1630" s="11">
        <f>SUM(O1631)</f>
        <v>1</v>
      </c>
      <c r="P1630" s="185"/>
    </row>
    <row r="1631" spans="1:16" hidden="1" outlineLevel="2">
      <c r="E1631" s="20"/>
      <c r="F1631" s="21"/>
      <c r="G1631" s="22"/>
      <c r="H1631" s="23"/>
      <c r="I1631" s="24"/>
      <c r="J1631" s="32"/>
      <c r="K1631" s="64"/>
      <c r="L1631" s="32"/>
      <c r="M1631" s="10"/>
      <c r="N1631" s="33">
        <v>1</v>
      </c>
      <c r="O1631" s="58">
        <f>ROUND(PRODUCT(J1631:N1631),2)</f>
        <v>1</v>
      </c>
    </row>
    <row r="1632" spans="1:16" hidden="1" outlineLevel="1">
      <c r="A1632" s="2">
        <v>5</v>
      </c>
      <c r="B1632" s="2">
        <v>15</v>
      </c>
      <c r="C1632" s="2" t="e">
        <f>1+C1630</f>
        <v>#REF!</v>
      </c>
      <c r="E1632" s="20" t="e">
        <f>CONCATENATE(A1632,".",B1632,".",C1632)</f>
        <v>#REF!</v>
      </c>
      <c r="F1632" s="21" t="s">
        <v>3528</v>
      </c>
      <c r="G1632" s="22">
        <v>269</v>
      </c>
      <c r="H1632" s="23" t="s">
        <v>2690</v>
      </c>
      <c r="I1632" s="24" t="s">
        <v>36</v>
      </c>
      <c r="J1632" s="32"/>
      <c r="K1632" s="10"/>
      <c r="L1632" s="32"/>
      <c r="M1632" s="10"/>
      <c r="N1632" s="33"/>
      <c r="O1632" s="11">
        <f>SUM(O1633)</f>
        <v>98</v>
      </c>
      <c r="P1632" s="185"/>
    </row>
    <row r="1633" spans="1:16" hidden="1" outlineLevel="2">
      <c r="E1633" s="20"/>
      <c r="F1633" s="21"/>
      <c r="G1633" s="22"/>
      <c r="H1633" s="23"/>
      <c r="I1633" s="24"/>
      <c r="J1633" s="32"/>
      <c r="K1633" s="64"/>
      <c r="L1633" s="32"/>
      <c r="M1633" s="10"/>
      <c r="N1633" s="33">
        <v>98</v>
      </c>
      <c r="O1633" s="58">
        <f>ROUND(PRODUCT(J1633:N1633),2)</f>
        <v>98</v>
      </c>
    </row>
    <row r="1634" spans="1:16" ht="45" hidden="1" outlineLevel="1">
      <c r="A1634" s="2">
        <v>5</v>
      </c>
      <c r="B1634" s="2">
        <v>15</v>
      </c>
      <c r="C1634" s="2" t="e">
        <f>1+C1632</f>
        <v>#REF!</v>
      </c>
      <c r="E1634" s="20" t="e">
        <f>CONCATENATE(A1634,".",B1634,".",C1634)</f>
        <v>#REF!</v>
      </c>
      <c r="F1634" s="21" t="s">
        <v>3529</v>
      </c>
      <c r="G1634" s="22">
        <v>325</v>
      </c>
      <c r="H1634" s="23" t="s">
        <v>2693</v>
      </c>
      <c r="I1634" s="24" t="s">
        <v>3390</v>
      </c>
      <c r="J1634" s="32"/>
      <c r="K1634" s="10"/>
      <c r="L1634" s="32"/>
      <c r="M1634" s="10"/>
      <c r="N1634" s="33"/>
      <c r="O1634" s="11">
        <f>SUM(O1635)</f>
        <v>4</v>
      </c>
      <c r="P1634" s="185"/>
    </row>
    <row r="1635" spans="1:16" hidden="1" outlineLevel="2">
      <c r="E1635" s="20"/>
      <c r="F1635" s="21"/>
      <c r="G1635" s="22"/>
      <c r="H1635" s="23"/>
      <c r="I1635" s="24"/>
      <c r="J1635" s="32"/>
      <c r="K1635" s="64"/>
      <c r="L1635" s="32"/>
      <c r="M1635" s="10"/>
      <c r="N1635" s="33">
        <v>4</v>
      </c>
      <c r="O1635" s="58">
        <f>ROUND(PRODUCT(J1635:N1635),2)</f>
        <v>4</v>
      </c>
    </row>
    <row r="1636" spans="1:16" ht="30" hidden="1" outlineLevel="1">
      <c r="A1636" s="2">
        <v>5</v>
      </c>
      <c r="B1636" s="2">
        <v>15</v>
      </c>
      <c r="C1636" s="2" t="e">
        <f>1+C1634</f>
        <v>#REF!</v>
      </c>
      <c r="E1636" s="20" t="e">
        <f>CONCATENATE(A1636,".",B1636,".",C1636)</f>
        <v>#REF!</v>
      </c>
      <c r="F1636" s="21" t="s">
        <v>3530</v>
      </c>
      <c r="G1636" s="22">
        <v>195</v>
      </c>
      <c r="H1636" s="23" t="s">
        <v>3531</v>
      </c>
      <c r="I1636" s="24" t="s">
        <v>3390</v>
      </c>
      <c r="J1636" s="32"/>
      <c r="K1636" s="10"/>
      <c r="L1636" s="32"/>
      <c r="M1636" s="10"/>
      <c r="N1636" s="33"/>
      <c r="O1636" s="11">
        <f>SUM(O1637)</f>
        <v>180</v>
      </c>
      <c r="P1636" s="185"/>
    </row>
    <row r="1637" spans="1:16" hidden="1" outlineLevel="2">
      <c r="E1637" s="20"/>
      <c r="F1637" s="21"/>
      <c r="G1637" s="22"/>
      <c r="H1637" s="23"/>
      <c r="I1637" s="24"/>
      <c r="J1637" s="32"/>
      <c r="K1637" s="64"/>
      <c r="L1637" s="32"/>
      <c r="M1637" s="10"/>
      <c r="N1637" s="33">
        <v>180</v>
      </c>
      <c r="O1637" s="58">
        <f>ROUND(PRODUCT(J1637:N1637),2)</f>
        <v>180</v>
      </c>
    </row>
    <row r="1638" spans="1:16" ht="45" hidden="1" outlineLevel="1">
      <c r="A1638" s="2">
        <v>5</v>
      </c>
      <c r="B1638" s="2">
        <v>15</v>
      </c>
      <c r="C1638" s="2" t="e">
        <f>1+C1636</f>
        <v>#REF!</v>
      </c>
      <c r="E1638" s="20" t="e">
        <f>CONCATENATE(A1638,".",B1638,".",C1638)</f>
        <v>#REF!</v>
      </c>
      <c r="F1638" s="21" t="s">
        <v>3532</v>
      </c>
      <c r="G1638" s="22">
        <v>417</v>
      </c>
      <c r="H1638" s="23" t="s">
        <v>3533</v>
      </c>
      <c r="I1638" s="24" t="s">
        <v>3390</v>
      </c>
      <c r="J1638" s="32"/>
      <c r="K1638" s="10"/>
      <c r="L1638" s="32"/>
      <c r="M1638" s="10"/>
      <c r="N1638" s="33"/>
      <c r="O1638" s="11">
        <f>SUM(O1639)</f>
        <v>87</v>
      </c>
      <c r="P1638" s="185"/>
    </row>
    <row r="1639" spans="1:16" hidden="1" outlineLevel="2">
      <c r="E1639" s="20"/>
      <c r="F1639" s="21"/>
      <c r="G1639" s="22"/>
      <c r="H1639" s="23"/>
      <c r="I1639" s="24"/>
      <c r="J1639" s="32"/>
      <c r="K1639" s="64"/>
      <c r="L1639" s="32"/>
      <c r="M1639" s="10"/>
      <c r="N1639" s="33">
        <v>87</v>
      </c>
      <c r="O1639" s="58">
        <f>ROUND(PRODUCT(J1639:N1639),2)</f>
        <v>87</v>
      </c>
    </row>
    <row r="1640" spans="1:16" hidden="1" outlineLevel="1">
      <c r="A1640" s="2">
        <v>5</v>
      </c>
      <c r="B1640" s="2">
        <v>15</v>
      </c>
      <c r="C1640" s="2" t="e">
        <f>1+C1638</f>
        <v>#REF!</v>
      </c>
      <c r="E1640" s="20" t="e">
        <f>CONCATENATE(A1640,".",B1640,".",C1640)</f>
        <v>#REF!</v>
      </c>
      <c r="F1640" s="21" t="s">
        <v>3534</v>
      </c>
      <c r="G1640" s="22">
        <v>418</v>
      </c>
      <c r="H1640" s="23" t="s">
        <v>3535</v>
      </c>
      <c r="I1640" s="24" t="s">
        <v>3390</v>
      </c>
      <c r="J1640" s="32"/>
      <c r="K1640" s="10"/>
      <c r="L1640" s="32"/>
      <c r="M1640" s="10"/>
      <c r="N1640" s="33"/>
      <c r="O1640" s="11">
        <f>SUM(O1641)</f>
        <v>180</v>
      </c>
      <c r="P1640" s="185"/>
    </row>
    <row r="1641" spans="1:16" hidden="1" outlineLevel="2">
      <c r="E1641" s="20"/>
      <c r="F1641" s="21"/>
      <c r="G1641" s="22"/>
      <c r="H1641" s="23"/>
      <c r="I1641" s="24"/>
      <c r="J1641" s="32"/>
      <c r="K1641" s="64"/>
      <c r="L1641" s="32"/>
      <c r="M1641" s="10"/>
      <c r="N1641" s="33">
        <v>180</v>
      </c>
      <c r="O1641" s="58">
        <f>ROUND(PRODUCT(J1641:N1641),2)</f>
        <v>180</v>
      </c>
    </row>
    <row r="1642" spans="1:16" collapsed="1">
      <c r="E1642" s="52" t="s">
        <v>3536</v>
      </c>
      <c r="F1642" s="53" t="s">
        <v>3536</v>
      </c>
      <c r="G1642" s="13"/>
      <c r="H1642" s="14" t="s">
        <v>876</v>
      </c>
      <c r="I1642" s="15"/>
      <c r="J1642" s="16"/>
      <c r="K1642" s="17"/>
      <c r="L1642" s="16"/>
      <c r="M1642" s="17"/>
      <c r="N1642" s="18"/>
      <c r="O1642" s="19"/>
      <c r="P1642" s="185" t="s">
        <v>3310</v>
      </c>
    </row>
    <row r="1643" spans="1:16" ht="30" hidden="1" outlineLevel="1">
      <c r="A1643" s="2">
        <v>5</v>
      </c>
      <c r="B1643" s="2">
        <v>16</v>
      </c>
      <c r="C1643" s="2">
        <v>1</v>
      </c>
      <c r="E1643" s="20" t="str">
        <f>CONCATENATE(A1643,".",B1643,".",C1643)</f>
        <v>5.16.1</v>
      </c>
      <c r="F1643" s="21" t="s">
        <v>3537</v>
      </c>
      <c r="G1643" s="22">
        <v>103262</v>
      </c>
      <c r="H1643" s="23" t="s">
        <v>3538</v>
      </c>
      <c r="I1643" s="24" t="s">
        <v>36</v>
      </c>
      <c r="J1643" s="32"/>
      <c r="K1643" s="10"/>
      <c r="L1643" s="32"/>
      <c r="M1643" s="10"/>
      <c r="N1643" s="33"/>
      <c r="O1643" s="11">
        <f>SUM(O1644)</f>
        <v>37</v>
      </c>
      <c r="P1643" s="129"/>
    </row>
    <row r="1644" spans="1:16" hidden="1" outlineLevel="2">
      <c r="E1644" s="59"/>
      <c r="F1644" s="60"/>
      <c r="G1644" s="34"/>
      <c r="H1644" s="30"/>
      <c r="I1644" s="35"/>
      <c r="J1644" s="41"/>
      <c r="K1644" s="10"/>
      <c r="L1644" s="32"/>
      <c r="M1644" s="10"/>
      <c r="N1644" s="33">
        <v>37</v>
      </c>
      <c r="O1644" s="31">
        <f>ROUND(PRODUCT(J1644:N1644),2)</f>
        <v>37</v>
      </c>
    </row>
    <row r="1645" spans="1:16" ht="30" hidden="1" outlineLevel="1">
      <c r="A1645" s="2">
        <v>5</v>
      </c>
      <c r="B1645" s="2">
        <v>16</v>
      </c>
      <c r="C1645" s="2">
        <f>1+C1643</f>
        <v>2</v>
      </c>
      <c r="E1645" s="20" t="str">
        <f>CONCATENATE(A1645,".",B1645,".",C1645)</f>
        <v>5.16.2</v>
      </c>
      <c r="F1645" s="21" t="s">
        <v>3539</v>
      </c>
      <c r="G1645" s="22">
        <v>103266</v>
      </c>
      <c r="H1645" s="23" t="s">
        <v>882</v>
      </c>
      <c r="I1645" s="24" t="s">
        <v>36</v>
      </c>
      <c r="J1645" s="32"/>
      <c r="K1645" s="10"/>
      <c r="L1645" s="32"/>
      <c r="M1645" s="10"/>
      <c r="N1645" s="33"/>
      <c r="O1645" s="11">
        <f>SUM(O1646)</f>
        <v>2</v>
      </c>
      <c r="P1645" s="129"/>
    </row>
    <row r="1646" spans="1:16" hidden="1" outlineLevel="2">
      <c r="E1646" s="59"/>
      <c r="F1646" s="60"/>
      <c r="G1646" s="34"/>
      <c r="H1646" s="30"/>
      <c r="I1646" s="35"/>
      <c r="J1646" s="41"/>
      <c r="K1646" s="10"/>
      <c r="L1646" s="32"/>
      <c r="M1646" s="10"/>
      <c r="N1646" s="33">
        <v>2</v>
      </c>
      <c r="O1646" s="31">
        <f>ROUND(PRODUCT(J1646:N1646),2)</f>
        <v>2</v>
      </c>
    </row>
    <row r="1647" spans="1:16" ht="30" hidden="1" outlineLevel="1">
      <c r="A1647" s="2">
        <v>5</v>
      </c>
      <c r="B1647" s="2">
        <v>16</v>
      </c>
      <c r="C1647" s="2">
        <f>1+C1645</f>
        <v>3</v>
      </c>
      <c r="E1647" s="20" t="str">
        <f>CONCATENATE(A1647,".",B1647,".",C1647)</f>
        <v>5.16.3</v>
      </c>
      <c r="F1647" s="21" t="s">
        <v>3540</v>
      </c>
      <c r="G1647" s="22">
        <v>103264</v>
      </c>
      <c r="H1647" s="23" t="s">
        <v>885</v>
      </c>
      <c r="I1647" s="24" t="s">
        <v>36</v>
      </c>
      <c r="J1647" s="32"/>
      <c r="K1647" s="10"/>
      <c r="L1647" s="32"/>
      <c r="M1647" s="10"/>
      <c r="N1647" s="33"/>
      <c r="O1647" s="11">
        <f>SUM(O1648)</f>
        <v>11</v>
      </c>
      <c r="P1647" s="129"/>
    </row>
    <row r="1648" spans="1:16" hidden="1" outlineLevel="2">
      <c r="E1648" s="59"/>
      <c r="F1648" s="60"/>
      <c r="G1648" s="34"/>
      <c r="H1648" s="30"/>
      <c r="I1648" s="35"/>
      <c r="J1648" s="41"/>
      <c r="K1648" s="10"/>
      <c r="L1648" s="32"/>
      <c r="M1648" s="10"/>
      <c r="N1648" s="33">
        <v>11</v>
      </c>
      <c r="O1648" s="31">
        <f>ROUND(PRODUCT(J1648:N1648),2)</f>
        <v>11</v>
      </c>
    </row>
    <row r="1649" spans="1:16" ht="30" hidden="1" outlineLevel="1">
      <c r="A1649" s="2">
        <v>5</v>
      </c>
      <c r="B1649" s="2">
        <v>16</v>
      </c>
      <c r="C1649" s="2">
        <f>1+C1647</f>
        <v>4</v>
      </c>
      <c r="E1649" s="20" t="str">
        <f>CONCATENATE(A1649,".",B1649,".",C1649)</f>
        <v>5.16.4</v>
      </c>
      <c r="F1649" s="21" t="s">
        <v>3541</v>
      </c>
      <c r="G1649" s="22">
        <v>103250</v>
      </c>
      <c r="H1649" s="23" t="s">
        <v>888</v>
      </c>
      <c r="I1649" s="24" t="s">
        <v>36</v>
      </c>
      <c r="J1649" s="32"/>
      <c r="K1649" s="10"/>
      <c r="L1649" s="32"/>
      <c r="M1649" s="10"/>
      <c r="N1649" s="33"/>
      <c r="O1649" s="11">
        <f>SUM(O1650)</f>
        <v>5</v>
      </c>
      <c r="P1649" s="129"/>
    </row>
    <row r="1650" spans="1:16" hidden="1" outlineLevel="2">
      <c r="E1650" s="59"/>
      <c r="F1650" s="60"/>
      <c r="G1650" s="34"/>
      <c r="H1650" s="30"/>
      <c r="I1650" s="35"/>
      <c r="J1650" s="41"/>
      <c r="K1650" s="10"/>
      <c r="L1650" s="32"/>
      <c r="M1650" s="10"/>
      <c r="N1650" s="33">
        <v>5</v>
      </c>
      <c r="O1650" s="31">
        <f>ROUND(PRODUCT(J1650:N1650),2)</f>
        <v>5</v>
      </c>
    </row>
    <row r="1651" spans="1:16" ht="30" hidden="1" outlineLevel="1">
      <c r="A1651" s="2">
        <v>5</v>
      </c>
      <c r="B1651" s="2">
        <v>16</v>
      </c>
      <c r="C1651" s="2">
        <f>1+C1649</f>
        <v>5</v>
      </c>
      <c r="E1651" s="20" t="str">
        <f>CONCATENATE(A1651,".",B1651,".",C1651)</f>
        <v>5.16.5</v>
      </c>
      <c r="F1651" s="21" t="s">
        <v>3542</v>
      </c>
      <c r="G1651" s="22">
        <v>103253</v>
      </c>
      <c r="H1651" s="23" t="s">
        <v>891</v>
      </c>
      <c r="I1651" s="24" t="s">
        <v>36</v>
      </c>
      <c r="J1651" s="32"/>
      <c r="K1651" s="10"/>
      <c r="L1651" s="32"/>
      <c r="M1651" s="10"/>
      <c r="N1651" s="33"/>
      <c r="O1651" s="11">
        <f>SUM(O1652)</f>
        <v>3</v>
      </c>
      <c r="P1651" s="129"/>
    </row>
    <row r="1652" spans="1:16" hidden="1" outlineLevel="2">
      <c r="E1652" s="59"/>
      <c r="F1652" s="60"/>
      <c r="G1652" s="34"/>
      <c r="H1652" s="30"/>
      <c r="I1652" s="35"/>
      <c r="J1652" s="41"/>
      <c r="K1652" s="10"/>
      <c r="L1652" s="32"/>
      <c r="M1652" s="10"/>
      <c r="N1652" s="33">
        <v>3</v>
      </c>
      <c r="O1652" s="31">
        <f>ROUND(PRODUCT(J1652:N1652),2)</f>
        <v>3</v>
      </c>
    </row>
    <row r="1653" spans="1:16" ht="30" hidden="1" outlineLevel="1">
      <c r="A1653" s="2">
        <v>5</v>
      </c>
      <c r="B1653" s="2">
        <v>16</v>
      </c>
      <c r="C1653" s="2">
        <f>1+C1651</f>
        <v>6</v>
      </c>
      <c r="E1653" s="20" t="str">
        <f>CONCATENATE(A1653,".",B1653,".",C1653)</f>
        <v>5.16.6</v>
      </c>
      <c r="F1653" s="21" t="s">
        <v>3543</v>
      </c>
      <c r="G1653" s="22">
        <v>103247</v>
      </c>
      <c r="H1653" s="23" t="s">
        <v>894</v>
      </c>
      <c r="I1653" s="24" t="s">
        <v>36</v>
      </c>
      <c r="J1653" s="32"/>
      <c r="K1653" s="10"/>
      <c r="L1653" s="32"/>
      <c r="M1653" s="10"/>
      <c r="N1653" s="33"/>
      <c r="O1653" s="11">
        <f>SUM(O1654)</f>
        <v>1</v>
      </c>
      <c r="P1653" s="129"/>
    </row>
    <row r="1654" spans="1:16" hidden="1" outlineLevel="2">
      <c r="E1654" s="59"/>
      <c r="F1654" s="60"/>
      <c r="G1654" s="34"/>
      <c r="H1654" s="30"/>
      <c r="I1654" s="35"/>
      <c r="J1654" s="41"/>
      <c r="K1654" s="10"/>
      <c r="L1654" s="32"/>
      <c r="M1654" s="10"/>
      <c r="N1654" s="33">
        <v>1</v>
      </c>
      <c r="O1654" s="31">
        <f>ROUND(PRODUCT(J1654:N1654),2)</f>
        <v>1</v>
      </c>
    </row>
    <row r="1655" spans="1:16" ht="30" hidden="1" outlineLevel="1">
      <c r="A1655" s="2">
        <v>5</v>
      </c>
      <c r="B1655" s="2">
        <v>16</v>
      </c>
      <c r="C1655" s="2">
        <f>1+C1653</f>
        <v>7</v>
      </c>
      <c r="E1655" s="20" t="str">
        <f>CONCATENATE(A1655,".",B1655,".",C1655)</f>
        <v>5.16.7</v>
      </c>
      <c r="F1655" s="21" t="s">
        <v>3544</v>
      </c>
      <c r="G1655" s="22">
        <v>103289</v>
      </c>
      <c r="H1655" s="23" t="s">
        <v>897</v>
      </c>
      <c r="I1655" s="24" t="s">
        <v>144</v>
      </c>
      <c r="J1655" s="32"/>
      <c r="K1655" s="10"/>
      <c r="L1655" s="32"/>
      <c r="M1655" s="10"/>
      <c r="N1655" s="33"/>
      <c r="O1655" s="11">
        <f>SUM(O1656)</f>
        <v>116</v>
      </c>
      <c r="P1655" s="129"/>
    </row>
    <row r="1656" spans="1:16" hidden="1" outlineLevel="2">
      <c r="E1656" s="59"/>
      <c r="F1656" s="60"/>
      <c r="G1656" s="34"/>
      <c r="H1656" s="30"/>
      <c r="I1656" s="35"/>
      <c r="J1656" s="41"/>
      <c r="K1656" s="10"/>
      <c r="L1656" s="32"/>
      <c r="M1656" s="10"/>
      <c r="N1656" s="33">
        <v>116</v>
      </c>
      <c r="O1656" s="31">
        <f>ROUND(PRODUCT(J1656:N1656),2)</f>
        <v>116</v>
      </c>
      <c r="P1656" s="129"/>
    </row>
    <row r="1657" spans="1:16" ht="30" hidden="1" outlineLevel="1">
      <c r="A1657" s="2">
        <v>5</v>
      </c>
      <c r="B1657" s="2">
        <v>16</v>
      </c>
      <c r="C1657" s="2">
        <f>1+C1655</f>
        <v>8</v>
      </c>
      <c r="E1657" s="20" t="str">
        <f>CONCATENATE(A1657,".",B1657,".",C1657)</f>
        <v>5.16.8</v>
      </c>
      <c r="F1657" s="21" t="s">
        <v>3545</v>
      </c>
      <c r="G1657" s="22">
        <v>103290</v>
      </c>
      <c r="H1657" s="23" t="s">
        <v>900</v>
      </c>
      <c r="I1657" s="24" t="s">
        <v>144</v>
      </c>
      <c r="J1657" s="32"/>
      <c r="K1657" s="10"/>
      <c r="L1657" s="32"/>
      <c r="M1657" s="10"/>
      <c r="N1657" s="33"/>
      <c r="O1657" s="11">
        <f>SUM(O1658)</f>
        <v>665</v>
      </c>
      <c r="P1657" s="129"/>
    </row>
    <row r="1658" spans="1:16" hidden="1" outlineLevel="2">
      <c r="E1658" s="59"/>
      <c r="F1658" s="60"/>
      <c r="G1658" s="34"/>
      <c r="H1658" s="30"/>
      <c r="I1658" s="35"/>
      <c r="J1658" s="41"/>
      <c r="K1658" s="10"/>
      <c r="L1658" s="32"/>
      <c r="M1658" s="10"/>
      <c r="N1658" s="33">
        <v>665</v>
      </c>
      <c r="O1658" s="31">
        <f>ROUND(PRODUCT(J1658:N1658),2)</f>
        <v>665</v>
      </c>
      <c r="P1658" s="129"/>
    </row>
    <row r="1659" spans="1:16" ht="30" hidden="1" outlineLevel="1">
      <c r="A1659" s="2">
        <v>5</v>
      </c>
      <c r="B1659" s="2">
        <v>16</v>
      </c>
      <c r="C1659" s="2">
        <f>1+C1657</f>
        <v>9</v>
      </c>
      <c r="E1659" s="20" t="str">
        <f>CONCATENATE(A1659,".",B1659,".",C1659)</f>
        <v>5.16.9</v>
      </c>
      <c r="F1659" s="21" t="s">
        <v>3546</v>
      </c>
      <c r="G1659" s="22">
        <v>103291</v>
      </c>
      <c r="H1659" s="23" t="s">
        <v>903</v>
      </c>
      <c r="I1659" s="24" t="s">
        <v>144</v>
      </c>
      <c r="J1659" s="32"/>
      <c r="K1659" s="10"/>
      <c r="L1659" s="32"/>
      <c r="M1659" s="10"/>
      <c r="N1659" s="33"/>
      <c r="O1659" s="11">
        <f>SUM(O1660)</f>
        <v>116</v>
      </c>
      <c r="P1659" s="129"/>
    </row>
    <row r="1660" spans="1:16" hidden="1" outlineLevel="2">
      <c r="E1660" s="59"/>
      <c r="F1660" s="60"/>
      <c r="G1660" s="34"/>
      <c r="H1660" s="30"/>
      <c r="I1660" s="35"/>
      <c r="J1660" s="41"/>
      <c r="K1660" s="10"/>
      <c r="L1660" s="32"/>
      <c r="M1660" s="10"/>
      <c r="N1660" s="33">
        <v>116</v>
      </c>
      <c r="O1660" s="31">
        <f>ROUND(PRODUCT(J1660:N1660),2)</f>
        <v>116</v>
      </c>
      <c r="P1660" s="129"/>
    </row>
    <row r="1661" spans="1:16" ht="30" hidden="1" outlineLevel="1">
      <c r="A1661" s="2">
        <v>5</v>
      </c>
      <c r="B1661" s="2">
        <v>16</v>
      </c>
      <c r="C1661" s="2">
        <f>1+C1659</f>
        <v>10</v>
      </c>
      <c r="E1661" s="20" t="str">
        <f>CONCATENATE(A1661,".",B1661,".",C1661)</f>
        <v>5.16.10</v>
      </c>
      <c r="F1661" s="21" t="s">
        <v>3547</v>
      </c>
      <c r="G1661" s="22">
        <v>92281</v>
      </c>
      <c r="H1661" s="23" t="s">
        <v>3548</v>
      </c>
      <c r="I1661" s="24" t="s">
        <v>144</v>
      </c>
      <c r="J1661" s="32"/>
      <c r="K1661" s="10"/>
      <c r="L1661" s="32"/>
      <c r="M1661" s="10"/>
      <c r="N1661" s="33"/>
      <c r="O1661" s="11">
        <f>SUM(O1662)</f>
        <v>451</v>
      </c>
      <c r="P1661" s="129"/>
    </row>
    <row r="1662" spans="1:16" hidden="1" outlineLevel="2">
      <c r="E1662" s="59"/>
      <c r="F1662" s="60"/>
      <c r="G1662" s="34"/>
      <c r="H1662" s="30"/>
      <c r="I1662" s="35"/>
      <c r="J1662" s="41"/>
      <c r="K1662" s="10"/>
      <c r="L1662" s="32"/>
      <c r="M1662" s="10"/>
      <c r="N1662" s="33">
        <v>451</v>
      </c>
      <c r="O1662" s="31">
        <f>ROUND(PRODUCT(J1662:N1662),2)</f>
        <v>451</v>
      </c>
      <c r="P1662" s="129"/>
    </row>
    <row r="1663" spans="1:16" ht="30" hidden="1" outlineLevel="1">
      <c r="A1663" s="2">
        <v>5</v>
      </c>
      <c r="B1663" s="2">
        <v>16</v>
      </c>
      <c r="C1663" s="2">
        <f>1+C1661</f>
        <v>11</v>
      </c>
      <c r="E1663" s="20" t="str">
        <f>CONCATENATE(A1663,".",B1663,".",C1663)</f>
        <v>5.16.11</v>
      </c>
      <c r="F1663" s="21" t="s">
        <v>3549</v>
      </c>
      <c r="G1663" s="22">
        <v>92282</v>
      </c>
      <c r="H1663" s="23" t="s">
        <v>3550</v>
      </c>
      <c r="I1663" s="24" t="s">
        <v>144</v>
      </c>
      <c r="J1663" s="32"/>
      <c r="K1663" s="10"/>
      <c r="L1663" s="32"/>
      <c r="M1663" s="10"/>
      <c r="N1663" s="33"/>
      <c r="O1663" s="11">
        <f>SUM(O1664)</f>
        <v>209</v>
      </c>
      <c r="P1663" s="129"/>
    </row>
    <row r="1664" spans="1:16" hidden="1" outlineLevel="2">
      <c r="E1664" s="59"/>
      <c r="F1664" s="60"/>
      <c r="G1664" s="34"/>
      <c r="H1664" s="30"/>
      <c r="I1664" s="35"/>
      <c r="J1664" s="41"/>
      <c r="K1664" s="10"/>
      <c r="L1664" s="32"/>
      <c r="M1664" s="10"/>
      <c r="N1664" s="33">
        <v>209</v>
      </c>
      <c r="O1664" s="31">
        <f>ROUND(PRODUCT(J1664:N1664),2)</f>
        <v>209</v>
      </c>
      <c r="P1664" s="129"/>
    </row>
    <row r="1665" spans="1:16" ht="30" hidden="1" outlineLevel="1">
      <c r="A1665" s="2">
        <v>5</v>
      </c>
      <c r="B1665" s="2">
        <v>16</v>
      </c>
      <c r="C1665" s="2">
        <f>1+C1663</f>
        <v>12</v>
      </c>
      <c r="E1665" s="20" t="str">
        <f>CONCATENATE(A1665,".",B1665,".",C1665)</f>
        <v>5.16.12</v>
      </c>
      <c r="F1665" s="21" t="s">
        <v>3551</v>
      </c>
      <c r="G1665" s="22">
        <v>434</v>
      </c>
      <c r="H1665" s="23" t="s">
        <v>3552</v>
      </c>
      <c r="I1665" s="24" t="s">
        <v>144</v>
      </c>
      <c r="J1665" s="32"/>
      <c r="K1665" s="10"/>
      <c r="L1665" s="32"/>
      <c r="M1665" s="10"/>
      <c r="N1665" s="33"/>
      <c r="O1665" s="11">
        <f>SUM(O1666)</f>
        <v>1158</v>
      </c>
      <c r="P1665" s="129"/>
    </row>
    <row r="1666" spans="1:16" hidden="1" outlineLevel="2">
      <c r="E1666" s="59"/>
      <c r="F1666" s="60"/>
      <c r="G1666" s="34"/>
      <c r="H1666" s="30"/>
      <c r="I1666" s="35"/>
      <c r="J1666" s="41"/>
      <c r="K1666" s="10"/>
      <c r="L1666" s="32"/>
      <c r="M1666" s="10"/>
      <c r="N1666" s="33">
        <v>1158</v>
      </c>
      <c r="O1666" s="31">
        <f>ROUND(PRODUCT(J1666:N1666),2)</f>
        <v>1158</v>
      </c>
      <c r="P1666" s="129"/>
    </row>
    <row r="1667" spans="1:16" ht="30" hidden="1" outlineLevel="1">
      <c r="A1667" s="2">
        <v>5</v>
      </c>
      <c r="B1667" s="2">
        <v>16</v>
      </c>
      <c r="C1667" s="2">
        <f>1+C1665</f>
        <v>13</v>
      </c>
      <c r="E1667" s="20" t="str">
        <f>CONCATENATE(A1667,".",B1667,".",C1667)</f>
        <v>5.16.13</v>
      </c>
      <c r="F1667" s="21" t="s">
        <v>3553</v>
      </c>
      <c r="G1667" s="22">
        <v>435</v>
      </c>
      <c r="H1667" s="23" t="s">
        <v>915</v>
      </c>
      <c r="I1667" s="24" t="s">
        <v>144</v>
      </c>
      <c r="J1667" s="32"/>
      <c r="K1667" s="10"/>
      <c r="L1667" s="32"/>
      <c r="M1667" s="10"/>
      <c r="N1667" s="33"/>
      <c r="O1667" s="11">
        <f>SUM(O1668)</f>
        <v>381</v>
      </c>
      <c r="P1667" s="129"/>
    </row>
    <row r="1668" spans="1:16" hidden="1" outlineLevel="2">
      <c r="E1668" s="59"/>
      <c r="F1668" s="60"/>
      <c r="G1668" s="34"/>
      <c r="H1668" s="30"/>
      <c r="I1668" s="35"/>
      <c r="J1668" s="41"/>
      <c r="K1668" s="10"/>
      <c r="L1668" s="32"/>
      <c r="M1668" s="10"/>
      <c r="N1668" s="33">
        <v>381</v>
      </c>
      <c r="O1668" s="31">
        <f>ROUND(PRODUCT(J1668:N1668),2)</f>
        <v>381</v>
      </c>
      <c r="P1668" s="129"/>
    </row>
    <row r="1669" spans="1:16" ht="30" hidden="1" outlineLevel="1">
      <c r="A1669" s="2">
        <v>5</v>
      </c>
      <c r="B1669" s="2">
        <v>16</v>
      </c>
      <c r="C1669" s="2">
        <f>1+C1667</f>
        <v>14</v>
      </c>
      <c r="E1669" s="20" t="str">
        <f>CONCATENATE(A1669,".",B1669,".",C1669)</f>
        <v>5.16.14</v>
      </c>
      <c r="F1669" s="21" t="s">
        <v>3554</v>
      </c>
      <c r="G1669" s="22">
        <v>1261</v>
      </c>
      <c r="H1669" s="23" t="s">
        <v>918</v>
      </c>
      <c r="I1669" s="24" t="s">
        <v>36</v>
      </c>
      <c r="J1669" s="32"/>
      <c r="K1669" s="10"/>
      <c r="L1669" s="32"/>
      <c r="M1669" s="10"/>
      <c r="N1669" s="33"/>
      <c r="O1669" s="11">
        <f>SUM(O1670)</f>
        <v>200</v>
      </c>
      <c r="P1669" s="129"/>
    </row>
    <row r="1670" spans="1:16" hidden="1" outlineLevel="2">
      <c r="E1670" s="59"/>
      <c r="F1670" s="60"/>
      <c r="G1670" s="34"/>
      <c r="H1670" s="30"/>
      <c r="I1670" s="35"/>
      <c r="J1670" s="41"/>
      <c r="K1670" s="10"/>
      <c r="L1670" s="32"/>
      <c r="M1670" s="10"/>
      <c r="N1670" s="33">
        <v>200</v>
      </c>
      <c r="O1670" s="31">
        <f>ROUND(PRODUCT(J1670:N1670),2)</f>
        <v>200</v>
      </c>
    </row>
    <row r="1671" spans="1:16" ht="30" hidden="1" outlineLevel="1">
      <c r="A1671" s="2">
        <v>5</v>
      </c>
      <c r="B1671" s="2">
        <v>16</v>
      </c>
      <c r="C1671" s="2">
        <f>1+C1669</f>
        <v>15</v>
      </c>
      <c r="E1671" s="20" t="str">
        <f>CONCATENATE(A1671,".",B1671,".",C1671)</f>
        <v>5.16.15</v>
      </c>
      <c r="F1671" s="21" t="s">
        <v>3555</v>
      </c>
      <c r="G1671" s="22">
        <v>438</v>
      </c>
      <c r="H1671" s="23" t="s">
        <v>921</v>
      </c>
      <c r="I1671" s="24" t="s">
        <v>36</v>
      </c>
      <c r="J1671" s="32"/>
      <c r="K1671" s="10"/>
      <c r="L1671" s="32"/>
      <c r="M1671" s="10"/>
      <c r="N1671" s="33"/>
      <c r="O1671" s="11">
        <f>SUM(O1672)</f>
        <v>73</v>
      </c>
      <c r="P1671" s="129"/>
    </row>
    <row r="1672" spans="1:16" hidden="1" outlineLevel="2">
      <c r="E1672" s="59"/>
      <c r="F1672" s="60"/>
      <c r="G1672" s="34"/>
      <c r="H1672" s="30"/>
      <c r="I1672" s="35"/>
      <c r="J1672" s="41"/>
      <c r="K1672" s="10"/>
      <c r="L1672" s="32"/>
      <c r="M1672" s="10"/>
      <c r="N1672" s="33">
        <v>73</v>
      </c>
      <c r="O1672" s="31">
        <f>ROUND(PRODUCT(J1672:N1672),2)</f>
        <v>73</v>
      </c>
      <c r="P1672" s="129"/>
    </row>
    <row r="1673" spans="1:16" ht="30" hidden="1" outlineLevel="1">
      <c r="A1673" s="2">
        <v>5</v>
      </c>
      <c r="B1673" s="2">
        <v>16</v>
      </c>
      <c r="C1673" s="2">
        <f>1+C1671</f>
        <v>16</v>
      </c>
      <c r="E1673" s="20" t="str">
        <f>CONCATENATE(A1673,".",B1673,".",C1673)</f>
        <v>5.16.16</v>
      </c>
      <c r="F1673" s="21" t="s">
        <v>3556</v>
      </c>
      <c r="G1673" s="22">
        <v>439</v>
      </c>
      <c r="H1673" s="23" t="s">
        <v>924</v>
      </c>
      <c r="I1673" s="24" t="s">
        <v>36</v>
      </c>
      <c r="J1673" s="32"/>
      <c r="K1673" s="10"/>
      <c r="L1673" s="32"/>
      <c r="M1673" s="10"/>
      <c r="N1673" s="33"/>
      <c r="O1673" s="11">
        <f>SUM(O1674)</f>
        <v>7</v>
      </c>
      <c r="P1673" s="129"/>
    </row>
    <row r="1674" spans="1:16" hidden="1" outlineLevel="2">
      <c r="E1674" s="59"/>
      <c r="F1674" s="60"/>
      <c r="G1674" s="34"/>
      <c r="H1674" s="30"/>
      <c r="I1674" s="35"/>
      <c r="J1674" s="41"/>
      <c r="K1674" s="10"/>
      <c r="L1674" s="32"/>
      <c r="M1674" s="10"/>
      <c r="N1674" s="33">
        <v>7</v>
      </c>
      <c r="O1674" s="31">
        <f>ROUND(PRODUCT(J1674:N1674),2)</f>
        <v>7</v>
      </c>
      <c r="P1674" s="129"/>
    </row>
    <row r="1675" spans="1:16" ht="30" hidden="1" outlineLevel="1">
      <c r="A1675" s="2">
        <v>5</v>
      </c>
      <c r="B1675" s="2">
        <v>16</v>
      </c>
      <c r="C1675" s="2">
        <f>1+C1673</f>
        <v>17</v>
      </c>
      <c r="E1675" s="20" t="str">
        <f>CONCATENATE(A1675,".",B1675,".",C1675)</f>
        <v>5.16.17</v>
      </c>
      <c r="F1675" s="21" t="s">
        <v>3557</v>
      </c>
      <c r="G1675" s="22">
        <v>91927</v>
      </c>
      <c r="H1675" s="23" t="s">
        <v>927</v>
      </c>
      <c r="I1675" s="24" t="s">
        <v>144</v>
      </c>
      <c r="J1675" s="32"/>
      <c r="K1675" s="10"/>
      <c r="L1675" s="32"/>
      <c r="M1675" s="10"/>
      <c r="N1675" s="33"/>
      <c r="O1675" s="11">
        <f>SUM(O1676)</f>
        <v>2060</v>
      </c>
      <c r="P1675" s="129"/>
    </row>
    <row r="1676" spans="1:16" hidden="1" outlineLevel="2">
      <c r="E1676" s="59"/>
      <c r="F1676" s="60"/>
      <c r="G1676" s="34"/>
      <c r="H1676" s="30"/>
      <c r="I1676" s="35"/>
      <c r="J1676" s="41"/>
      <c r="K1676" s="10"/>
      <c r="L1676" s="32"/>
      <c r="M1676" s="10"/>
      <c r="N1676" s="33">
        <v>2060</v>
      </c>
      <c r="O1676" s="31">
        <f>ROUND(PRODUCT(J1676:N1676),2)</f>
        <v>2060</v>
      </c>
      <c r="P1676" s="129"/>
    </row>
    <row r="1677" spans="1:16" ht="30" hidden="1" outlineLevel="1">
      <c r="A1677" s="2">
        <v>5</v>
      </c>
      <c r="B1677" s="2">
        <v>16</v>
      </c>
      <c r="C1677" s="2">
        <f>1+C1675</f>
        <v>18</v>
      </c>
      <c r="E1677" s="20" t="str">
        <f>CONCATENATE(A1677,".",B1677,".",C1677)</f>
        <v>5.16.18</v>
      </c>
      <c r="F1677" s="21" t="s">
        <v>3558</v>
      </c>
      <c r="G1677" s="22">
        <v>91929</v>
      </c>
      <c r="H1677" s="23" t="s">
        <v>930</v>
      </c>
      <c r="I1677" s="24" t="s">
        <v>144</v>
      </c>
      <c r="J1677" s="32"/>
      <c r="K1677" s="10"/>
      <c r="L1677" s="32"/>
      <c r="M1677" s="10"/>
      <c r="N1677" s="33"/>
      <c r="O1677" s="11">
        <f>SUM(O1678)</f>
        <v>1045</v>
      </c>
      <c r="P1677" s="129"/>
    </row>
    <row r="1678" spans="1:16" hidden="1" outlineLevel="2">
      <c r="E1678" s="59"/>
      <c r="F1678" s="60"/>
      <c r="G1678" s="34"/>
      <c r="H1678" s="30"/>
      <c r="I1678" s="31"/>
      <c r="J1678" s="41"/>
      <c r="K1678" s="10"/>
      <c r="L1678" s="32"/>
      <c r="M1678" s="10"/>
      <c r="N1678" s="33">
        <v>1045</v>
      </c>
      <c r="O1678" s="31">
        <f>ROUND(PRODUCT(J1678:N1678),2)</f>
        <v>1045</v>
      </c>
      <c r="P1678" s="129"/>
    </row>
    <row r="1679" spans="1:16" ht="30" hidden="1" outlineLevel="1">
      <c r="A1679" s="2">
        <v>5</v>
      </c>
      <c r="B1679" s="2">
        <v>16</v>
      </c>
      <c r="C1679" s="2">
        <f>1+C1677</f>
        <v>19</v>
      </c>
      <c r="E1679" s="20" t="str">
        <f>CONCATENATE(A1679,".",B1679,".",C1679)</f>
        <v>5.16.19</v>
      </c>
      <c r="F1679" s="21" t="s">
        <v>3559</v>
      </c>
      <c r="G1679" s="22">
        <v>440</v>
      </c>
      <c r="H1679" s="23" t="s">
        <v>933</v>
      </c>
      <c r="I1679" s="24" t="s">
        <v>36</v>
      </c>
      <c r="J1679" s="32"/>
      <c r="K1679" s="10"/>
      <c r="L1679" s="32"/>
      <c r="M1679" s="10"/>
      <c r="N1679" s="33"/>
      <c r="O1679" s="11">
        <f>SUM(O1680)</f>
        <v>23</v>
      </c>
      <c r="P1679" s="129"/>
    </row>
    <row r="1680" spans="1:16" hidden="1" outlineLevel="2">
      <c r="E1680" s="59"/>
      <c r="F1680" s="60"/>
      <c r="G1680" s="34"/>
      <c r="H1680" s="30"/>
      <c r="I1680" s="35"/>
      <c r="J1680" s="41"/>
      <c r="K1680" s="10"/>
      <c r="L1680" s="32"/>
      <c r="M1680" s="41"/>
      <c r="N1680" s="33">
        <v>23</v>
      </c>
      <c r="O1680" s="31">
        <f>ROUND(PRODUCT(J1680:N1680),2)</f>
        <v>23</v>
      </c>
      <c r="P1680" s="129"/>
    </row>
    <row r="1681" spans="1:17" ht="45" hidden="1" outlineLevel="1">
      <c r="A1681" s="2">
        <v>5</v>
      </c>
      <c r="B1681" s="2">
        <v>16</v>
      </c>
      <c r="C1681" s="2">
        <f>1+C1679</f>
        <v>20</v>
      </c>
      <c r="E1681" s="20" t="str">
        <f>CONCATENATE(A1681,".",B1681,".",C1681)</f>
        <v>5.16.20</v>
      </c>
      <c r="F1681" s="21" t="s">
        <v>3560</v>
      </c>
      <c r="G1681" s="22">
        <v>1528</v>
      </c>
      <c r="H1681" s="23" t="s">
        <v>3561</v>
      </c>
      <c r="I1681" s="24" t="s">
        <v>36</v>
      </c>
      <c r="J1681" s="32"/>
      <c r="K1681" s="10"/>
      <c r="L1681" s="32"/>
      <c r="M1681" s="10"/>
      <c r="N1681" s="33"/>
      <c r="O1681" s="11">
        <f>SUM(O1682)</f>
        <v>2</v>
      </c>
      <c r="P1681" s="129"/>
    </row>
    <row r="1682" spans="1:17" hidden="1" outlineLevel="2">
      <c r="E1682" s="59"/>
      <c r="F1682" s="60"/>
      <c r="G1682" s="34"/>
      <c r="H1682" s="30"/>
      <c r="I1682" s="35"/>
      <c r="J1682" s="41"/>
      <c r="K1682" s="10"/>
      <c r="L1682" s="32"/>
      <c r="M1682" s="10"/>
      <c r="N1682" s="33">
        <v>2</v>
      </c>
      <c r="O1682" s="31">
        <f>ROUND(PRODUCT(J1682:N1682),2)</f>
        <v>2</v>
      </c>
      <c r="P1682" s="129"/>
    </row>
    <row r="1683" spans="1:17" ht="30" hidden="1" outlineLevel="1">
      <c r="A1683" s="2">
        <v>5</v>
      </c>
      <c r="B1683" s="2">
        <v>16</v>
      </c>
      <c r="C1683" s="2">
        <f>1+C1681</f>
        <v>21</v>
      </c>
      <c r="E1683" s="20" t="str">
        <f>CONCATENATE(A1683,".",B1683,".",C1683)</f>
        <v>5.16.21</v>
      </c>
      <c r="F1683" s="21" t="s">
        <v>3562</v>
      </c>
      <c r="G1683" s="22">
        <v>1262</v>
      </c>
      <c r="H1683" s="23" t="s">
        <v>937</v>
      </c>
      <c r="I1683" s="24" t="s">
        <v>36</v>
      </c>
      <c r="J1683" s="32"/>
      <c r="K1683" s="10"/>
      <c r="L1683" s="32"/>
      <c r="M1683" s="10"/>
      <c r="N1683" s="33"/>
      <c r="O1683" s="11">
        <f>SUM(O1684)</f>
        <v>36</v>
      </c>
      <c r="P1683" s="129"/>
    </row>
    <row r="1684" spans="1:17" hidden="1" outlineLevel="2">
      <c r="E1684" s="59"/>
      <c r="F1684" s="60"/>
      <c r="G1684" s="34"/>
      <c r="H1684" s="30"/>
      <c r="I1684" s="35"/>
      <c r="J1684" s="41"/>
      <c r="K1684" s="10"/>
      <c r="L1684" s="32"/>
      <c r="M1684" s="10"/>
      <c r="N1684" s="33">
        <v>36</v>
      </c>
      <c r="O1684" s="31">
        <f>ROUND(PRODUCT(J1684:N1684),2)</f>
        <v>36</v>
      </c>
    </row>
    <row r="1685" spans="1:17" ht="45" hidden="1" outlineLevel="1">
      <c r="A1685" s="2">
        <v>5</v>
      </c>
      <c r="B1685" s="2">
        <v>16</v>
      </c>
      <c r="C1685" s="2">
        <f>1+C1683</f>
        <v>22</v>
      </c>
      <c r="E1685" s="20" t="str">
        <f>CONCATENATE(A1685,".",B1685,".",C1685)</f>
        <v>5.16.22</v>
      </c>
      <c r="F1685" s="21" t="s">
        <v>3563</v>
      </c>
      <c r="G1685" s="22">
        <v>501</v>
      </c>
      <c r="H1685" s="23" t="s">
        <v>3564</v>
      </c>
      <c r="I1685" s="24" t="s">
        <v>36</v>
      </c>
      <c r="J1685" s="32"/>
      <c r="K1685" s="10"/>
      <c r="L1685" s="32"/>
      <c r="M1685" s="10"/>
      <c r="N1685" s="33"/>
      <c r="O1685" s="11">
        <f>SUM(O1686)</f>
        <v>7</v>
      </c>
      <c r="P1685" s="129"/>
    </row>
    <row r="1686" spans="1:17" hidden="1" outlineLevel="2">
      <c r="E1686" s="59"/>
      <c r="F1686" s="60"/>
      <c r="G1686" s="34"/>
      <c r="H1686" s="30"/>
      <c r="I1686" s="35"/>
      <c r="J1686" s="41"/>
      <c r="K1686" s="10"/>
      <c r="L1686" s="32"/>
      <c r="M1686" s="10"/>
      <c r="N1686" s="33">
        <v>7</v>
      </c>
      <c r="O1686" s="31">
        <f>ROUND(PRODUCT(J1686:N1686),2)</f>
        <v>7</v>
      </c>
      <c r="P1686" s="129"/>
    </row>
    <row r="1687" spans="1:17" ht="60" hidden="1" outlineLevel="1">
      <c r="A1687" s="2">
        <v>5</v>
      </c>
      <c r="B1687" s="2">
        <v>16</v>
      </c>
      <c r="C1687" s="2">
        <f>1+C1685</f>
        <v>23</v>
      </c>
      <c r="E1687" s="20" t="str">
        <f>CONCATENATE(A1687,".",B1687,".",C1687)</f>
        <v>5.16.23</v>
      </c>
      <c r="F1687" s="21" t="s">
        <v>3565</v>
      </c>
      <c r="G1687" s="22">
        <v>1527</v>
      </c>
      <c r="H1687" s="23" t="s">
        <v>941</v>
      </c>
      <c r="I1687" s="24" t="s">
        <v>36</v>
      </c>
      <c r="J1687" s="32"/>
      <c r="K1687" s="10"/>
      <c r="L1687" s="32"/>
      <c r="M1687" s="10"/>
      <c r="N1687" s="33"/>
      <c r="O1687" s="11">
        <f>SUM(O1688)</f>
        <v>1</v>
      </c>
      <c r="P1687" s="129"/>
    </row>
    <row r="1688" spans="1:17" hidden="1" outlineLevel="2">
      <c r="E1688" s="59"/>
      <c r="F1688" s="60"/>
      <c r="G1688" s="34"/>
      <c r="H1688" s="30"/>
      <c r="I1688" s="35"/>
      <c r="J1688" s="41"/>
      <c r="K1688" s="10"/>
      <c r="L1688" s="32"/>
      <c r="M1688" s="10"/>
      <c r="N1688" s="33">
        <v>1</v>
      </c>
      <c r="O1688" s="31">
        <f>ROUND(PRODUCT(J1688:N1688),2)</f>
        <v>1</v>
      </c>
    </row>
    <row r="1689" spans="1:17" hidden="1" outlineLevel="1">
      <c r="A1689" s="2">
        <v>5</v>
      </c>
      <c r="B1689" s="2">
        <v>16</v>
      </c>
      <c r="C1689" s="2">
        <f>1+C1687</f>
        <v>24</v>
      </c>
      <c r="E1689" s="20" t="str">
        <f>CONCATENATE(A1689,".",B1689,".",C1689)</f>
        <v>5.16.24</v>
      </c>
      <c r="F1689" s="21" t="s">
        <v>3566</v>
      </c>
      <c r="G1689" s="22"/>
      <c r="H1689" s="23"/>
      <c r="I1689" s="24" t="s">
        <v>36</v>
      </c>
      <c r="J1689" s="32"/>
      <c r="K1689" s="10"/>
      <c r="L1689" s="32"/>
      <c r="M1689" s="10"/>
      <c r="N1689" s="33"/>
      <c r="O1689" s="11">
        <f>SUM(O1690)</f>
        <v>15</v>
      </c>
    </row>
    <row r="1690" spans="1:17" hidden="1" outlineLevel="2">
      <c r="E1690" s="59"/>
      <c r="F1690" s="60"/>
      <c r="G1690" s="34"/>
      <c r="H1690" s="30"/>
      <c r="I1690" s="35"/>
      <c r="J1690" s="41"/>
      <c r="K1690" s="10"/>
      <c r="L1690" s="32"/>
      <c r="M1690" s="10"/>
      <c r="N1690" s="33">
        <v>15</v>
      </c>
      <c r="O1690" s="31">
        <f>ROUND(PRODUCT(J1690:N1690),2)</f>
        <v>15</v>
      </c>
    </row>
    <row r="1691" spans="1:17" hidden="1" outlineLevel="1">
      <c r="A1691" s="2">
        <v>5</v>
      </c>
      <c r="B1691" s="2">
        <v>16</v>
      </c>
      <c r="C1691" s="2">
        <f>1+C1689</f>
        <v>25</v>
      </c>
      <c r="E1691" s="20" t="str">
        <f>CONCATENATE(A1691,".",B1691,".",C1691)</f>
        <v>5.16.25</v>
      </c>
      <c r="F1691" s="21" t="s">
        <v>3567</v>
      </c>
      <c r="G1691" s="22">
        <v>447</v>
      </c>
      <c r="H1691" s="23" t="s">
        <v>1202</v>
      </c>
      <c r="I1691" s="24" t="s">
        <v>80</v>
      </c>
      <c r="J1691" s="32"/>
      <c r="K1691" s="10"/>
      <c r="L1691" s="32"/>
      <c r="M1691" s="10"/>
      <c r="N1691" s="33"/>
      <c r="O1691" s="11">
        <f>SUM(O1692)</f>
        <v>50</v>
      </c>
      <c r="P1691" s="129"/>
    </row>
    <row r="1692" spans="1:17" hidden="1" outlineLevel="2">
      <c r="E1692" s="59"/>
      <c r="F1692" s="60"/>
      <c r="G1692" s="34"/>
      <c r="H1692" s="30"/>
      <c r="I1692" s="35"/>
      <c r="J1692" s="41"/>
      <c r="K1692" s="10"/>
      <c r="L1692" s="32"/>
      <c r="M1692" s="10"/>
      <c r="N1692" s="33">
        <v>50</v>
      </c>
      <c r="O1692" s="31">
        <f>ROUND(PRODUCT(J1692:N1692),2)</f>
        <v>50</v>
      </c>
      <c r="P1692" s="129"/>
    </row>
    <row r="1693" spans="1:17" hidden="1" outlineLevel="1">
      <c r="A1693" s="2">
        <v>5</v>
      </c>
      <c r="B1693" s="2">
        <v>16</v>
      </c>
      <c r="C1693" s="2">
        <f>1+C1691</f>
        <v>26</v>
      </c>
      <c r="E1693" s="20" t="str">
        <f>CONCATENATE(A1693,".",B1693,".",C1693)</f>
        <v>5.16.26</v>
      </c>
      <c r="F1693" s="21" t="s">
        <v>3568</v>
      </c>
      <c r="G1693" s="22">
        <v>448</v>
      </c>
      <c r="H1693" s="23" t="s">
        <v>945</v>
      </c>
      <c r="I1693" s="24" t="s">
        <v>80</v>
      </c>
      <c r="J1693" s="32"/>
      <c r="K1693" s="10"/>
      <c r="L1693" s="32"/>
      <c r="M1693" s="10"/>
      <c r="N1693" s="33"/>
      <c r="O1693" s="11">
        <f>SUM(O1694)</f>
        <v>50</v>
      </c>
      <c r="P1693" s="129"/>
    </row>
    <row r="1694" spans="1:17" hidden="1" outlineLevel="2">
      <c r="E1694" s="59"/>
      <c r="F1694" s="60"/>
      <c r="G1694" s="34"/>
      <c r="H1694" s="30"/>
      <c r="I1694" s="35"/>
      <c r="J1694" s="41"/>
      <c r="K1694" s="10"/>
      <c r="L1694" s="32"/>
      <c r="M1694" s="10"/>
      <c r="N1694" s="33">
        <v>50</v>
      </c>
      <c r="O1694" s="31">
        <f>ROUND(PRODUCT(J1694:N1694),2)</f>
        <v>50</v>
      </c>
      <c r="P1694" s="129"/>
    </row>
    <row r="1695" spans="1:17" collapsed="1">
      <c r="E1695" s="42">
        <v>6</v>
      </c>
      <c r="F1695" s="43">
        <v>6</v>
      </c>
      <c r="G1695" s="13"/>
      <c r="H1695" s="14" t="s">
        <v>16</v>
      </c>
      <c r="I1695" s="15"/>
      <c r="J1695" s="16"/>
      <c r="K1695" s="17"/>
      <c r="L1695" s="16"/>
      <c r="M1695" s="17"/>
      <c r="N1695" s="18"/>
      <c r="O1695" s="19"/>
      <c r="P1695" s="185"/>
      <c r="Q1695" s="185"/>
    </row>
    <row r="1696" spans="1:17">
      <c r="E1696" s="44" t="s">
        <v>3569</v>
      </c>
      <c r="F1696" s="45" t="s">
        <v>3569</v>
      </c>
      <c r="G1696" s="13"/>
      <c r="H1696" s="14" t="s">
        <v>1965</v>
      </c>
      <c r="I1696" s="15"/>
      <c r="J1696" s="16"/>
      <c r="K1696" s="17"/>
      <c r="L1696" s="16"/>
      <c r="M1696" s="17"/>
      <c r="N1696" s="18"/>
      <c r="O1696" s="19"/>
      <c r="P1696" s="185"/>
      <c r="Q1696" s="185"/>
    </row>
    <row r="1697" spans="1:17" ht="30" hidden="1" outlineLevel="1">
      <c r="A1697" s="2">
        <v>6</v>
      </c>
      <c r="B1697" s="2">
        <v>1</v>
      </c>
      <c r="C1697" s="2">
        <v>1</v>
      </c>
      <c r="E1697" s="20" t="str">
        <f>CONCATENATE(A1697,".",B1697,".",C1697)</f>
        <v>6.1.1</v>
      </c>
      <c r="F1697" s="120" t="s">
        <v>3570</v>
      </c>
      <c r="G1697" s="113">
        <v>99059</v>
      </c>
      <c r="H1697" s="114" t="s">
        <v>2821</v>
      </c>
      <c r="I1697" s="115" t="s">
        <v>144</v>
      </c>
      <c r="J1697" s="131"/>
      <c r="K1697" s="132"/>
      <c r="L1697" s="133"/>
      <c r="M1697" s="132"/>
      <c r="N1697" s="134"/>
      <c r="O1697" s="135">
        <f>SUM(O1698)</f>
        <v>108.3</v>
      </c>
      <c r="P1697" s="185"/>
      <c r="Q1697" s="185"/>
    </row>
    <row r="1698" spans="1:17" hidden="1" outlineLevel="1">
      <c r="E1698" s="20"/>
      <c r="F1698" s="120"/>
      <c r="G1698" s="136"/>
      <c r="H1698" s="118"/>
      <c r="I1698" s="137"/>
      <c r="J1698" s="131"/>
      <c r="K1698" s="138"/>
      <c r="L1698" s="134"/>
      <c r="M1698" s="138"/>
      <c r="N1698" s="134">
        <v>108.3</v>
      </c>
      <c r="O1698" s="139">
        <f>ROUND(PRODUCT(J1698:N1698),2)</f>
        <v>108.3</v>
      </c>
      <c r="P1698" s="185"/>
      <c r="Q1698" s="185"/>
    </row>
    <row r="1699" spans="1:17" ht="45" hidden="1" outlineLevel="1">
      <c r="A1699" s="2">
        <v>6</v>
      </c>
      <c r="B1699" s="2">
        <v>1</v>
      </c>
      <c r="C1699" s="2">
        <f>1+C1697</f>
        <v>2</v>
      </c>
      <c r="E1699" s="20" t="str">
        <f>CONCATENATE(A1699,".",B1699,".",C1699)</f>
        <v>6.1.2</v>
      </c>
      <c r="F1699" s="120" t="s">
        <v>3571</v>
      </c>
      <c r="G1699" s="113">
        <v>96521</v>
      </c>
      <c r="H1699" s="114" t="s">
        <v>1971</v>
      </c>
      <c r="I1699" s="115" t="s">
        <v>126</v>
      </c>
      <c r="J1699" s="131"/>
      <c r="K1699" s="132"/>
      <c r="L1699" s="133"/>
      <c r="M1699" s="132"/>
      <c r="N1699" s="134"/>
      <c r="O1699" s="135">
        <f>SUM(O1700:O1700)</f>
        <v>137.6</v>
      </c>
      <c r="P1699" s="185"/>
      <c r="Q1699" s="185"/>
    </row>
    <row r="1700" spans="1:17" hidden="1" outlineLevel="1">
      <c r="E1700" s="20"/>
      <c r="F1700" s="120"/>
      <c r="G1700" s="136"/>
      <c r="H1700" s="118" t="s">
        <v>2823</v>
      </c>
      <c r="I1700" s="137"/>
      <c r="J1700" s="131"/>
      <c r="K1700" s="138"/>
      <c r="L1700" s="134"/>
      <c r="M1700" s="138"/>
      <c r="N1700" s="134">
        <v>137.6</v>
      </c>
      <c r="O1700" s="139">
        <f>ROUND(PRODUCT(J1700:N1700),2)</f>
        <v>137.6</v>
      </c>
      <c r="P1700" s="185"/>
      <c r="Q1700" s="185"/>
    </row>
    <row r="1701" spans="1:17" ht="30" hidden="1" outlineLevel="1">
      <c r="A1701" s="2">
        <v>6</v>
      </c>
      <c r="B1701" s="2">
        <v>1</v>
      </c>
      <c r="C1701" s="2">
        <f>1+C1699</f>
        <v>3</v>
      </c>
      <c r="E1701" s="20" t="str">
        <f>CONCATENATE(A1701,".",B1701,".",C1701)</f>
        <v>6.1.3</v>
      </c>
      <c r="F1701" s="120" t="s">
        <v>3572</v>
      </c>
      <c r="G1701" s="113">
        <v>96525</v>
      </c>
      <c r="H1701" s="114" t="s">
        <v>1974</v>
      </c>
      <c r="I1701" s="115" t="s">
        <v>126</v>
      </c>
      <c r="J1701" s="131"/>
      <c r="K1701" s="132"/>
      <c r="L1701" s="133"/>
      <c r="M1701" s="132"/>
      <c r="N1701" s="134"/>
      <c r="O1701" s="135">
        <f>SUM(O1702:O1702)</f>
        <v>37.96</v>
      </c>
      <c r="P1701" s="185"/>
      <c r="Q1701" s="185"/>
    </row>
    <row r="1702" spans="1:17" hidden="1" outlineLevel="1">
      <c r="E1702" s="20"/>
      <c r="F1702" s="120"/>
      <c r="G1702" s="136"/>
      <c r="H1702" s="118" t="s">
        <v>2825</v>
      </c>
      <c r="I1702" s="137"/>
      <c r="J1702" s="131"/>
      <c r="K1702" s="138"/>
      <c r="L1702" s="134"/>
      <c r="M1702" s="138"/>
      <c r="N1702" s="134">
        <v>37.96</v>
      </c>
      <c r="O1702" s="139">
        <f>ROUND(PRODUCT(J1702:N1702),2)</f>
        <v>37.96</v>
      </c>
      <c r="P1702" s="185"/>
      <c r="Q1702" s="185"/>
    </row>
    <row r="1703" spans="1:17" ht="30" hidden="1" outlineLevel="1">
      <c r="A1703" s="2">
        <v>6</v>
      </c>
      <c r="B1703" s="2">
        <v>1</v>
      </c>
      <c r="C1703" s="2">
        <f>1+C1701</f>
        <v>4</v>
      </c>
      <c r="E1703" s="20" t="str">
        <f>CONCATENATE(A1703,".",B1703,".",C1703)</f>
        <v>6.1.4</v>
      </c>
      <c r="F1703" s="120" t="s">
        <v>3573</v>
      </c>
      <c r="G1703" s="113">
        <v>96619</v>
      </c>
      <c r="H1703" s="114" t="s">
        <v>1977</v>
      </c>
      <c r="I1703" s="115" t="s">
        <v>45</v>
      </c>
      <c r="J1703" s="131"/>
      <c r="K1703" s="132"/>
      <c r="L1703" s="133"/>
      <c r="M1703" s="132"/>
      <c r="N1703" s="134"/>
      <c r="O1703" s="135">
        <f>SUM(O1704:O1704)</f>
        <v>194.78</v>
      </c>
      <c r="P1703" s="185"/>
      <c r="Q1703" s="185"/>
    </row>
    <row r="1704" spans="1:17" hidden="1" outlineLevel="1">
      <c r="E1704" s="20"/>
      <c r="F1704" s="120"/>
      <c r="G1704" s="136"/>
      <c r="H1704" s="118"/>
      <c r="I1704" s="137"/>
      <c r="J1704" s="131"/>
      <c r="K1704" s="138"/>
      <c r="L1704" s="134"/>
      <c r="M1704" s="138"/>
      <c r="N1704" s="134">
        <f>106.06+88.72</f>
        <v>194.78</v>
      </c>
      <c r="O1704" s="139">
        <f>ROUND(PRODUCT(J1704:N1704),2)</f>
        <v>194.78</v>
      </c>
      <c r="P1704" s="185"/>
      <c r="Q1704" s="185"/>
    </row>
    <row r="1705" spans="1:17" ht="30" hidden="1" outlineLevel="1">
      <c r="E1705" s="20"/>
      <c r="F1705" s="120" t="s">
        <v>3574</v>
      </c>
      <c r="G1705" s="113">
        <v>96557</v>
      </c>
      <c r="H1705" s="114" t="s">
        <v>1980</v>
      </c>
      <c r="I1705" s="115" t="s">
        <v>126</v>
      </c>
      <c r="J1705" s="131"/>
      <c r="K1705" s="132"/>
      <c r="L1705" s="133"/>
      <c r="M1705" s="132"/>
      <c r="N1705" s="134"/>
      <c r="O1705" s="135">
        <f>SUM(O1706:O1706)</f>
        <v>14.7</v>
      </c>
      <c r="P1705" s="185"/>
      <c r="Q1705" s="185"/>
    </row>
    <row r="1706" spans="1:17" hidden="1" outlineLevel="1">
      <c r="E1706" s="20"/>
      <c r="F1706" s="120"/>
      <c r="G1706" s="136"/>
      <c r="H1706" s="118" t="s">
        <v>2828</v>
      </c>
      <c r="I1706" s="137"/>
      <c r="J1706" s="131"/>
      <c r="K1706" s="138"/>
      <c r="L1706" s="134"/>
      <c r="M1706" s="138"/>
      <c r="N1706" s="134">
        <v>14.7</v>
      </c>
      <c r="O1706" s="139">
        <f>ROUND(PRODUCT(J1706:N1706),2)</f>
        <v>14.7</v>
      </c>
      <c r="P1706" s="185"/>
      <c r="Q1706" s="185"/>
    </row>
    <row r="1707" spans="1:17" ht="30" hidden="1" outlineLevel="1">
      <c r="E1707" s="20"/>
      <c r="F1707" s="120" t="s">
        <v>3575</v>
      </c>
      <c r="G1707" s="113">
        <v>96535</v>
      </c>
      <c r="H1707" s="114" t="s">
        <v>1983</v>
      </c>
      <c r="I1707" s="115" t="s">
        <v>45</v>
      </c>
      <c r="J1707" s="131"/>
      <c r="K1707" s="132"/>
      <c r="L1707" s="133"/>
      <c r="M1707" s="132"/>
      <c r="N1707" s="134"/>
      <c r="O1707" s="135">
        <f>SUM(O1708:O1708)</f>
        <v>40.53</v>
      </c>
      <c r="P1707" s="185"/>
      <c r="Q1707" s="185"/>
    </row>
    <row r="1708" spans="1:17" hidden="1" outlineLevel="1">
      <c r="E1708" s="20"/>
      <c r="F1708" s="120"/>
      <c r="G1708" s="136"/>
      <c r="H1708" s="118"/>
      <c r="I1708" s="137"/>
      <c r="J1708" s="131"/>
      <c r="K1708" s="138"/>
      <c r="L1708" s="134"/>
      <c r="M1708" s="138"/>
      <c r="N1708" s="134">
        <v>40.53</v>
      </c>
      <c r="O1708" s="139">
        <f>ROUND(PRODUCT(J1708:N1708),2)</f>
        <v>40.53</v>
      </c>
      <c r="P1708" s="185"/>
      <c r="Q1708" s="185"/>
    </row>
    <row r="1709" spans="1:17" ht="30" hidden="1" outlineLevel="1">
      <c r="E1709" s="20"/>
      <c r="F1709" s="120" t="s">
        <v>3576</v>
      </c>
      <c r="G1709" s="113">
        <v>96536</v>
      </c>
      <c r="H1709" s="114" t="s">
        <v>1986</v>
      </c>
      <c r="I1709" s="115" t="s">
        <v>45</v>
      </c>
      <c r="J1709" s="131"/>
      <c r="K1709" s="132"/>
      <c r="L1709" s="133"/>
      <c r="M1709" s="132"/>
      <c r="N1709" s="134"/>
      <c r="O1709" s="135">
        <f>SUM(O1710:O1710)</f>
        <v>190.7</v>
      </c>
      <c r="P1709" s="185"/>
      <c r="Q1709" s="185"/>
    </row>
    <row r="1710" spans="1:17" hidden="1" outlineLevel="1">
      <c r="A1710" s="2">
        <v>6</v>
      </c>
      <c r="B1710" s="2">
        <v>1</v>
      </c>
      <c r="C1710" s="2">
        <f>1+C1703</f>
        <v>5</v>
      </c>
      <c r="E1710" s="20" t="str">
        <f>CONCATENATE(A1710,".",B1710,".",C1710)</f>
        <v>6.1.5</v>
      </c>
      <c r="F1710" s="120"/>
      <c r="G1710" s="136"/>
      <c r="H1710" s="118"/>
      <c r="I1710" s="137"/>
      <c r="J1710" s="131"/>
      <c r="K1710" s="138"/>
      <c r="L1710" s="134"/>
      <c r="M1710" s="138"/>
      <c r="N1710" s="134">
        <v>190.7</v>
      </c>
      <c r="O1710" s="139">
        <f>ROUND(PRODUCT(J1710:N1710),2)</f>
        <v>190.7</v>
      </c>
      <c r="P1710" s="185"/>
      <c r="Q1710" s="185"/>
    </row>
    <row r="1711" spans="1:17" ht="45" hidden="1" outlineLevel="1">
      <c r="E1711" s="20"/>
      <c r="F1711" s="120" t="s">
        <v>3577</v>
      </c>
      <c r="G1711" s="113">
        <v>92439</v>
      </c>
      <c r="H1711" s="114" t="s">
        <v>1989</v>
      </c>
      <c r="I1711" s="115" t="s">
        <v>45</v>
      </c>
      <c r="J1711" s="131"/>
      <c r="K1711" s="132"/>
      <c r="L1711" s="133"/>
      <c r="M1711" s="132"/>
      <c r="N1711" s="134"/>
      <c r="O1711" s="135">
        <f>SUM(O1712:O1712)</f>
        <v>47.35</v>
      </c>
      <c r="P1711" s="185"/>
      <c r="Q1711" s="185"/>
    </row>
    <row r="1712" spans="1:17" hidden="1" outlineLevel="1">
      <c r="E1712" s="20"/>
      <c r="F1712" s="120"/>
      <c r="G1712" s="136"/>
      <c r="H1712" s="118"/>
      <c r="I1712" s="137"/>
      <c r="J1712" s="131"/>
      <c r="K1712" s="138"/>
      <c r="L1712" s="134"/>
      <c r="M1712" s="138"/>
      <c r="N1712" s="134">
        <v>47.35</v>
      </c>
      <c r="O1712" s="139">
        <f>ROUND(PRODUCT(J1712:N1712),2)</f>
        <v>47.35</v>
      </c>
      <c r="P1712" s="185"/>
      <c r="Q1712" s="185"/>
    </row>
    <row r="1713" spans="1:17" ht="30" hidden="1" outlineLevel="1">
      <c r="E1713" s="20"/>
      <c r="F1713" s="120" t="s">
        <v>3578</v>
      </c>
      <c r="G1713" s="113">
        <v>104916</v>
      </c>
      <c r="H1713" s="114" t="s">
        <v>1992</v>
      </c>
      <c r="I1713" s="115" t="s">
        <v>80</v>
      </c>
      <c r="J1713" s="131"/>
      <c r="K1713" s="132"/>
      <c r="L1713" s="133"/>
      <c r="M1713" s="132"/>
      <c r="N1713" s="134"/>
      <c r="O1713" s="135">
        <f>SUM(O1714:O1714)</f>
        <v>209.7</v>
      </c>
      <c r="P1713" s="185"/>
      <c r="Q1713" s="185"/>
    </row>
    <row r="1714" spans="1:17" hidden="1" outlineLevel="1">
      <c r="E1714" s="20"/>
      <c r="F1714" s="120"/>
      <c r="G1714" s="136"/>
      <c r="H1714" s="118" t="s">
        <v>2825</v>
      </c>
      <c r="I1714" s="140"/>
      <c r="J1714" s="140"/>
      <c r="K1714" s="138"/>
      <c r="L1714" s="138"/>
      <c r="M1714" s="140"/>
      <c r="N1714" s="138">
        <v>209.7</v>
      </c>
      <c r="O1714" s="139">
        <f>ROUND(PRODUCT(J1714:N1714),2)</f>
        <v>209.7</v>
      </c>
      <c r="P1714" s="185"/>
      <c r="Q1714" s="185"/>
    </row>
    <row r="1715" spans="1:17" ht="30" hidden="1" outlineLevel="1">
      <c r="E1715" s="20"/>
      <c r="F1715" s="120" t="s">
        <v>3579</v>
      </c>
      <c r="G1715" s="113">
        <v>104917</v>
      </c>
      <c r="H1715" s="114" t="s">
        <v>1995</v>
      </c>
      <c r="I1715" s="115" t="s">
        <v>80</v>
      </c>
      <c r="J1715" s="141"/>
      <c r="K1715" s="132"/>
      <c r="L1715" s="133"/>
      <c r="M1715" s="142"/>
      <c r="N1715" s="134"/>
      <c r="O1715" s="135">
        <f>SUM(O1716:O1716)</f>
        <v>46.4</v>
      </c>
      <c r="P1715" s="185"/>
      <c r="Q1715" s="185"/>
    </row>
    <row r="1716" spans="1:17" hidden="1" outlineLevel="1">
      <c r="A1716" s="2">
        <v>6</v>
      </c>
      <c r="B1716" s="2">
        <v>1</v>
      </c>
      <c r="C1716" s="2">
        <f>1+C1710</f>
        <v>6</v>
      </c>
      <c r="E1716" s="20" t="str">
        <f>CONCATENATE(A1716,".",B1716,".",C1716)</f>
        <v>6.1.6</v>
      </c>
      <c r="F1716" s="120"/>
      <c r="G1716" s="136"/>
      <c r="H1716" s="118" t="s">
        <v>2825</v>
      </c>
      <c r="I1716" s="140"/>
      <c r="J1716" s="140"/>
      <c r="K1716" s="138"/>
      <c r="L1716" s="138"/>
      <c r="M1716" s="140"/>
      <c r="N1716" s="138">
        <v>46.4</v>
      </c>
      <c r="O1716" s="139">
        <f>ROUND(PRODUCT(J1716:N1716),2)</f>
        <v>46.4</v>
      </c>
      <c r="P1716" s="185"/>
      <c r="Q1716" s="185"/>
    </row>
    <row r="1717" spans="1:17" ht="30" hidden="1" outlineLevel="1">
      <c r="E1717" s="20"/>
      <c r="F1717" s="120" t="s">
        <v>3580</v>
      </c>
      <c r="G1717" s="113">
        <v>104921</v>
      </c>
      <c r="H1717" s="114" t="s">
        <v>1998</v>
      </c>
      <c r="I1717" s="115" t="s">
        <v>80</v>
      </c>
      <c r="J1717" s="141"/>
      <c r="K1717" s="132"/>
      <c r="L1717" s="133"/>
      <c r="M1717" s="142"/>
      <c r="N1717" s="134"/>
      <c r="O1717" s="135">
        <f>SUM(O1718:O1718)</f>
        <v>30.2</v>
      </c>
      <c r="P1717" s="185"/>
      <c r="Q1717" s="185"/>
    </row>
    <row r="1718" spans="1:17" hidden="1" outlineLevel="1">
      <c r="E1718" s="20"/>
      <c r="F1718" s="120"/>
      <c r="G1718" s="136"/>
      <c r="H1718" s="118" t="s">
        <v>2825</v>
      </c>
      <c r="I1718" s="140"/>
      <c r="J1718" s="140"/>
      <c r="K1718" s="138"/>
      <c r="L1718" s="138"/>
      <c r="M1718" s="140"/>
      <c r="N1718" s="138">
        <v>30.2</v>
      </c>
      <c r="O1718" s="139">
        <f>ROUND(PRODUCT(J1718:N1718),2)</f>
        <v>30.2</v>
      </c>
      <c r="P1718" s="185"/>
      <c r="Q1718" s="185"/>
    </row>
    <row r="1719" spans="1:17" ht="30" hidden="1" outlineLevel="1">
      <c r="E1719" s="20"/>
      <c r="F1719" s="120" t="s">
        <v>3581</v>
      </c>
      <c r="G1719" s="113">
        <v>104919</v>
      </c>
      <c r="H1719" s="114" t="s">
        <v>2001</v>
      </c>
      <c r="I1719" s="115" t="s">
        <v>80</v>
      </c>
      <c r="J1719" s="141"/>
      <c r="K1719" s="132"/>
      <c r="L1719" s="133"/>
      <c r="M1719" s="142"/>
      <c r="N1719" s="134"/>
      <c r="O1719" s="135">
        <f>SUM(O1720:O1721)</f>
        <v>307.2</v>
      </c>
      <c r="P1719" s="185"/>
      <c r="Q1719" s="185"/>
    </row>
    <row r="1720" spans="1:17" hidden="1" outlineLevel="1">
      <c r="E1720" s="20"/>
      <c r="F1720" s="120"/>
      <c r="G1720" s="136"/>
      <c r="H1720" s="118" t="s">
        <v>2823</v>
      </c>
      <c r="I1720" s="140"/>
      <c r="J1720" s="140"/>
      <c r="K1720" s="138"/>
      <c r="L1720" s="138"/>
      <c r="M1720" s="140"/>
      <c r="N1720" s="138">
        <v>58.8</v>
      </c>
      <c r="O1720" s="139">
        <f>ROUND(PRODUCT(J1720:N1720),2)</f>
        <v>58.8</v>
      </c>
      <c r="P1720" s="185"/>
      <c r="Q1720" s="185"/>
    </row>
    <row r="1721" spans="1:17" hidden="1" outlineLevel="1">
      <c r="E1721" s="20"/>
      <c r="F1721" s="120"/>
      <c r="G1721" s="136"/>
      <c r="H1721" s="118" t="s">
        <v>2828</v>
      </c>
      <c r="I1721" s="140"/>
      <c r="J1721" s="140"/>
      <c r="K1721" s="138"/>
      <c r="L1721" s="138"/>
      <c r="M1721" s="140"/>
      <c r="N1721" s="138">
        <v>248.4</v>
      </c>
      <c r="O1721" s="139">
        <f>ROUND(PRODUCT(J1721:N1721),2)</f>
        <v>248.4</v>
      </c>
      <c r="P1721" s="185"/>
      <c r="Q1721" s="185"/>
    </row>
    <row r="1722" spans="1:17" ht="30" hidden="1" outlineLevel="1">
      <c r="A1722" s="2">
        <v>6</v>
      </c>
      <c r="B1722" s="2">
        <v>1</v>
      </c>
      <c r="C1722" s="2">
        <f>1+C1716</f>
        <v>7</v>
      </c>
      <c r="E1722" s="20" t="str">
        <f>CONCATENATE(A1722,".",B1722,".",C1722)</f>
        <v>6.1.7</v>
      </c>
      <c r="F1722" s="120" t="s">
        <v>3582</v>
      </c>
      <c r="G1722" s="113">
        <v>104920</v>
      </c>
      <c r="H1722" s="114" t="s">
        <v>2004</v>
      </c>
      <c r="I1722" s="115" t="s">
        <v>80</v>
      </c>
      <c r="J1722" s="141"/>
      <c r="K1722" s="132"/>
      <c r="L1722" s="133"/>
      <c r="M1722" s="142"/>
      <c r="N1722" s="134"/>
      <c r="O1722" s="135">
        <f>SUM(O1723:O1723)</f>
        <v>147.4</v>
      </c>
      <c r="P1722" s="185"/>
      <c r="Q1722" s="185"/>
    </row>
    <row r="1723" spans="1:17" hidden="1" outlineLevel="1">
      <c r="E1723" s="20"/>
      <c r="F1723" s="120"/>
      <c r="G1723" s="136"/>
      <c r="H1723" s="118" t="s">
        <v>2828</v>
      </c>
      <c r="I1723" s="140"/>
      <c r="J1723" s="140"/>
      <c r="K1723" s="138"/>
      <c r="L1723" s="138"/>
      <c r="M1723" s="140"/>
      <c r="N1723" s="138">
        <v>147.4</v>
      </c>
      <c r="O1723" s="139">
        <f>ROUND(PRODUCT(J1723:N1723),2)</f>
        <v>147.4</v>
      </c>
      <c r="P1723" s="185"/>
      <c r="Q1723" s="185"/>
    </row>
    <row r="1724" spans="1:17" ht="30" hidden="1" outlineLevel="1">
      <c r="E1724" s="20"/>
      <c r="F1724" s="120" t="s">
        <v>3583</v>
      </c>
      <c r="G1724" s="113">
        <v>92759</v>
      </c>
      <c r="H1724" s="114" t="s">
        <v>79</v>
      </c>
      <c r="I1724" s="115" t="s">
        <v>80</v>
      </c>
      <c r="J1724" s="141"/>
      <c r="K1724" s="132"/>
      <c r="L1724" s="133"/>
      <c r="M1724" s="142"/>
      <c r="N1724" s="134"/>
      <c r="O1724" s="135">
        <f>SUM(O1725)</f>
        <v>90.4</v>
      </c>
      <c r="P1724" s="185"/>
      <c r="Q1724" s="185"/>
    </row>
    <row r="1725" spans="1:17" hidden="1" outlineLevel="1">
      <c r="E1725" s="20"/>
      <c r="F1725" s="120"/>
      <c r="G1725" s="136"/>
      <c r="H1725" s="118"/>
      <c r="I1725" s="140"/>
      <c r="J1725" s="140"/>
      <c r="K1725" s="138"/>
      <c r="L1725" s="138"/>
      <c r="M1725" s="140"/>
      <c r="N1725" s="138">
        <v>90.4</v>
      </c>
      <c r="O1725" s="139">
        <f>ROUND(PRODUCT(J1725:N1725),2)</f>
        <v>90.4</v>
      </c>
      <c r="P1725" s="185"/>
      <c r="Q1725" s="185"/>
    </row>
    <row r="1726" spans="1:17" ht="30" hidden="1" outlineLevel="1">
      <c r="E1726" s="20"/>
      <c r="F1726" s="120" t="s">
        <v>3584</v>
      </c>
      <c r="G1726" s="113">
        <v>92762</v>
      </c>
      <c r="H1726" s="114" t="s">
        <v>89</v>
      </c>
      <c r="I1726" s="115" t="s">
        <v>80</v>
      </c>
      <c r="J1726" s="131"/>
      <c r="K1726" s="132"/>
      <c r="L1726" s="133"/>
      <c r="M1726" s="142"/>
      <c r="N1726" s="134"/>
      <c r="O1726" s="135">
        <f>SUM(O1727)</f>
        <v>197.9</v>
      </c>
      <c r="P1726" s="185"/>
      <c r="Q1726" s="185"/>
    </row>
    <row r="1727" spans="1:17" hidden="1" outlineLevel="1">
      <c r="E1727" s="20"/>
      <c r="F1727" s="120"/>
      <c r="G1727" s="136"/>
      <c r="H1727" s="118"/>
      <c r="I1727" s="140"/>
      <c r="J1727" s="140"/>
      <c r="K1727" s="138"/>
      <c r="L1727" s="138"/>
      <c r="M1727" s="140"/>
      <c r="N1727" s="138">
        <v>197.9</v>
      </c>
      <c r="O1727" s="139">
        <f>ROUND(PRODUCT(J1727:N1727),2)</f>
        <v>197.9</v>
      </c>
      <c r="P1727" s="185"/>
      <c r="Q1727" s="185"/>
    </row>
    <row r="1728" spans="1:17" ht="30" hidden="1" outlineLevel="1">
      <c r="A1728" s="2">
        <v>6</v>
      </c>
      <c r="B1728" s="2">
        <v>1</v>
      </c>
      <c r="C1728" s="2">
        <f>1+C1722</f>
        <v>8</v>
      </c>
      <c r="E1728" s="20" t="str">
        <f>CONCATENATE(A1728,".",B1728,".",C1728)</f>
        <v>6.1.8</v>
      </c>
      <c r="F1728" s="120" t="s">
        <v>3585</v>
      </c>
      <c r="G1728" s="113">
        <v>92763</v>
      </c>
      <c r="H1728" s="114" t="s">
        <v>92</v>
      </c>
      <c r="I1728" s="115" t="s">
        <v>80</v>
      </c>
      <c r="J1728" s="141"/>
      <c r="K1728" s="132"/>
      <c r="L1728" s="133"/>
      <c r="M1728" s="142"/>
      <c r="N1728" s="134"/>
      <c r="O1728" s="135">
        <f>SUM(O1729)</f>
        <v>194.6</v>
      </c>
      <c r="P1728" s="185"/>
      <c r="Q1728" s="185"/>
    </row>
    <row r="1729" spans="1:17" hidden="1" outlineLevel="1">
      <c r="E1729" s="20"/>
      <c r="F1729" s="120"/>
      <c r="G1729" s="136"/>
      <c r="H1729" s="118"/>
      <c r="I1729" s="140"/>
      <c r="J1729" s="140"/>
      <c r="K1729" s="138"/>
      <c r="L1729" s="138"/>
      <c r="M1729" s="140"/>
      <c r="N1729" s="138">
        <v>194.6</v>
      </c>
      <c r="O1729" s="139">
        <f>ROUND(PRODUCT(J1729:N1729),2)</f>
        <v>194.6</v>
      </c>
      <c r="P1729" s="185"/>
      <c r="Q1729" s="185"/>
    </row>
    <row r="1730" spans="1:17" ht="30" hidden="1" outlineLevel="1">
      <c r="A1730" s="2">
        <v>6</v>
      </c>
      <c r="B1730" s="2">
        <v>1</v>
      </c>
      <c r="C1730" s="2">
        <f>1+C1728</f>
        <v>9</v>
      </c>
      <c r="E1730" s="20" t="str">
        <f>CONCATENATE(A1730,".",B1730,".",C1730)</f>
        <v>6.1.9</v>
      </c>
      <c r="F1730" s="120" t="s">
        <v>3586</v>
      </c>
      <c r="G1730" s="113">
        <v>92764</v>
      </c>
      <c r="H1730" s="114" t="s">
        <v>95</v>
      </c>
      <c r="I1730" s="115" t="s">
        <v>80</v>
      </c>
      <c r="J1730" s="141"/>
      <c r="K1730" s="132"/>
      <c r="L1730" s="133"/>
      <c r="M1730" s="142"/>
      <c r="N1730" s="134"/>
      <c r="O1730" s="135">
        <f>SUM(O1731)</f>
        <v>89.2</v>
      </c>
      <c r="P1730" s="185"/>
      <c r="Q1730" s="185"/>
    </row>
    <row r="1731" spans="1:17" hidden="1" outlineLevel="1">
      <c r="E1731" s="20"/>
      <c r="F1731" s="120"/>
      <c r="G1731" s="136"/>
      <c r="H1731" s="118"/>
      <c r="I1731" s="140"/>
      <c r="J1731" s="140"/>
      <c r="K1731" s="138"/>
      <c r="L1731" s="138"/>
      <c r="M1731" s="140"/>
      <c r="N1731" s="138">
        <v>89.2</v>
      </c>
      <c r="O1731" s="139">
        <f>ROUND(PRODUCT(J1731:N1731),2)</f>
        <v>89.2</v>
      </c>
      <c r="P1731" s="185"/>
      <c r="Q1731" s="185"/>
    </row>
    <row r="1732" spans="1:17" ht="30" hidden="1" outlineLevel="1">
      <c r="A1732" s="2">
        <v>6</v>
      </c>
      <c r="B1732" s="2">
        <v>1</v>
      </c>
      <c r="C1732" s="2" t="e">
        <f>1+#REF!</f>
        <v>#REF!</v>
      </c>
      <c r="E1732" s="20" t="e">
        <f>CONCATENATE(A1732,".",B1732,".",C1732)</f>
        <v>#REF!</v>
      </c>
      <c r="F1732" s="120" t="s">
        <v>3587</v>
      </c>
      <c r="G1732" s="113">
        <v>104918</v>
      </c>
      <c r="H1732" s="114" t="s">
        <v>2012</v>
      </c>
      <c r="I1732" s="115" t="s">
        <v>80</v>
      </c>
      <c r="J1732" s="131"/>
      <c r="K1732" s="132"/>
      <c r="L1732" s="133"/>
      <c r="M1732" s="142"/>
      <c r="N1732" s="134"/>
      <c r="O1732" s="135">
        <f>SUM(O1733:O1734)</f>
        <v>693.09999999999991</v>
      </c>
      <c r="P1732" s="185"/>
      <c r="Q1732" s="185"/>
    </row>
    <row r="1733" spans="1:17" hidden="1" outlineLevel="1">
      <c r="E1733" s="20"/>
      <c r="F1733" s="120"/>
      <c r="G1733" s="136"/>
      <c r="H1733" s="118" t="s">
        <v>2823</v>
      </c>
      <c r="I1733" s="137"/>
      <c r="J1733" s="143"/>
      <c r="K1733" s="138"/>
      <c r="L1733" s="134"/>
      <c r="M1733" s="140"/>
      <c r="N1733" s="134">
        <v>437.4</v>
      </c>
      <c r="O1733" s="139">
        <f>ROUND(PRODUCT(J1733:N1733),2)</f>
        <v>437.4</v>
      </c>
      <c r="P1733" s="185"/>
      <c r="Q1733" s="185"/>
    </row>
    <row r="1734" spans="1:17" hidden="1" outlineLevel="1">
      <c r="A1734" s="2">
        <v>6</v>
      </c>
      <c r="B1734" s="2">
        <v>1</v>
      </c>
      <c r="C1734" s="2" t="e">
        <f>1+C1732</f>
        <v>#REF!</v>
      </c>
      <c r="E1734" s="20" t="e">
        <f>CONCATENATE(A1734,".",B1734,".",C1734)</f>
        <v>#REF!</v>
      </c>
      <c r="F1734" s="120"/>
      <c r="G1734" s="136"/>
      <c r="H1734" s="118" t="s">
        <v>2828</v>
      </c>
      <c r="I1734" s="137"/>
      <c r="J1734" s="143"/>
      <c r="K1734" s="138"/>
      <c r="L1734" s="134"/>
      <c r="M1734" s="140"/>
      <c r="N1734" s="134">
        <v>255.7</v>
      </c>
      <c r="O1734" s="139">
        <f>ROUND(PRODUCT(J1734:N1734),2)</f>
        <v>255.7</v>
      </c>
      <c r="P1734" s="185"/>
      <c r="Q1734" s="185"/>
    </row>
    <row r="1735" spans="1:17" ht="30" hidden="1" outlineLevel="1">
      <c r="E1735" s="20"/>
      <c r="F1735" s="120" t="s">
        <v>3588</v>
      </c>
      <c r="G1735" s="113" t="s">
        <v>2014</v>
      </c>
      <c r="H1735" s="114" t="s">
        <v>2015</v>
      </c>
      <c r="I1735" s="115" t="s">
        <v>126</v>
      </c>
      <c r="J1735" s="131"/>
      <c r="K1735" s="132"/>
      <c r="L1735" s="133"/>
      <c r="M1735" s="132"/>
      <c r="N1735" s="134"/>
      <c r="O1735" s="135">
        <f>SUM(O1736:O1737)</f>
        <v>145.07</v>
      </c>
      <c r="P1735" s="185"/>
      <c r="Q1735" s="185"/>
    </row>
    <row r="1736" spans="1:17" hidden="1" outlineLevel="1">
      <c r="A1736" s="2">
        <v>6</v>
      </c>
      <c r="B1736" s="2">
        <v>1</v>
      </c>
      <c r="C1736" s="2" t="e">
        <f>1+C1734</f>
        <v>#REF!</v>
      </c>
      <c r="E1736" s="20" t="e">
        <f>CONCATENATE(A1736,".",B1736,".",C1736)</f>
        <v>#REF!</v>
      </c>
      <c r="F1736" s="120"/>
      <c r="G1736" s="136"/>
      <c r="H1736" s="118" t="s">
        <v>2842</v>
      </c>
      <c r="I1736" s="137"/>
      <c r="J1736" s="131"/>
      <c r="K1736" s="138"/>
      <c r="L1736" s="134"/>
      <c r="M1736" s="138"/>
      <c r="N1736" s="134">
        <f>O1699+O1701</f>
        <v>175.56</v>
      </c>
      <c r="O1736" s="139">
        <f>ROUND(PRODUCT(J1736:N1736),2)</f>
        <v>175.56</v>
      </c>
      <c r="P1736" s="185"/>
      <c r="Q1736" s="185"/>
    </row>
    <row r="1737" spans="1:17" hidden="1" outlineLevel="1">
      <c r="E1737" s="20"/>
      <c r="F1737" s="120"/>
      <c r="G1737" s="136"/>
      <c r="H1737" s="118" t="s">
        <v>2843</v>
      </c>
      <c r="I1737" s="137"/>
      <c r="J1737" s="143">
        <v>-1</v>
      </c>
      <c r="K1737" s="143"/>
      <c r="L1737" s="143"/>
      <c r="M1737" s="143"/>
      <c r="N1737" s="134">
        <f>O1705+O1738</f>
        <v>30.49</v>
      </c>
      <c r="O1737" s="144">
        <f>ROUND(PRODUCT(J1737:N1737),2)</f>
        <v>-30.49</v>
      </c>
      <c r="P1737" s="185"/>
      <c r="Q1737" s="185"/>
    </row>
    <row r="1738" spans="1:17" ht="30" hidden="1" outlineLevel="1">
      <c r="E1738" s="20"/>
      <c r="F1738" s="120" t="s">
        <v>3589</v>
      </c>
      <c r="G1738" s="113">
        <v>96558</v>
      </c>
      <c r="H1738" s="114" t="s">
        <v>2018</v>
      </c>
      <c r="I1738" s="115" t="s">
        <v>276</v>
      </c>
      <c r="J1738" s="131"/>
      <c r="K1738" s="132"/>
      <c r="L1738" s="133"/>
      <c r="M1738" s="132"/>
      <c r="N1738" s="134"/>
      <c r="O1738" s="135">
        <f>SUM(O1739)</f>
        <v>15.79</v>
      </c>
      <c r="P1738" s="185"/>
      <c r="Q1738" s="185"/>
    </row>
    <row r="1739" spans="1:17" hidden="1" outlineLevel="1">
      <c r="A1739" s="2">
        <v>6</v>
      </c>
      <c r="B1739" s="2">
        <v>1</v>
      </c>
      <c r="C1739" s="2" t="e">
        <f>1+C1736</f>
        <v>#REF!</v>
      </c>
      <c r="E1739" s="20" t="e">
        <f>CONCATENATE(A1739,".",B1739,".",C1739)</f>
        <v>#REF!</v>
      </c>
      <c r="F1739" s="120"/>
      <c r="G1739" s="136"/>
      <c r="H1739" s="118"/>
      <c r="I1739" s="137"/>
      <c r="J1739" s="143"/>
      <c r="K1739" s="138"/>
      <c r="L1739" s="134"/>
      <c r="M1739" s="138"/>
      <c r="N1739" s="134">
        <v>15.79</v>
      </c>
      <c r="O1739" s="139">
        <f>ROUND(PRODUCT(J1739:N1739),2)</f>
        <v>15.79</v>
      </c>
      <c r="P1739" s="185"/>
      <c r="Q1739" s="185"/>
    </row>
    <row r="1740" spans="1:17" ht="45" hidden="1" outlineLevel="1">
      <c r="E1740" s="20"/>
      <c r="F1740" s="120" t="s">
        <v>3590</v>
      </c>
      <c r="G1740" s="113">
        <v>604</v>
      </c>
      <c r="H1740" s="114" t="s">
        <v>2846</v>
      </c>
      <c r="I1740" s="115" t="s">
        <v>276</v>
      </c>
      <c r="J1740" s="131"/>
      <c r="K1740" s="132"/>
      <c r="L1740" s="133"/>
      <c r="M1740" s="132"/>
      <c r="N1740" s="134"/>
      <c r="O1740" s="135">
        <f>SUM(O1741)</f>
        <v>2.94</v>
      </c>
      <c r="P1740" s="185"/>
      <c r="Q1740" s="185"/>
    </row>
    <row r="1741" spans="1:17" hidden="1" outlineLevel="1">
      <c r="A1741" s="2">
        <v>6</v>
      </c>
      <c r="B1741" s="2">
        <v>1</v>
      </c>
      <c r="C1741" s="2" t="e">
        <f>1+C1739</f>
        <v>#REF!</v>
      </c>
      <c r="E1741" s="20" t="e">
        <f>CONCATENATE(A1741,".",B1741,".",C1741)</f>
        <v>#REF!</v>
      </c>
      <c r="F1741" s="120"/>
      <c r="G1741" s="136"/>
      <c r="H1741" s="118" t="s">
        <v>2847</v>
      </c>
      <c r="I1741" s="137"/>
      <c r="J1741" s="131"/>
      <c r="K1741" s="138"/>
      <c r="L1741" s="134"/>
      <c r="M1741" s="138"/>
      <c r="N1741" s="134">
        <v>2.94</v>
      </c>
      <c r="O1741" s="139">
        <f>ROUND(PRODUCT(J1741:N1741),2)</f>
        <v>2.94</v>
      </c>
      <c r="P1741" s="185"/>
      <c r="Q1741" s="185"/>
    </row>
    <row r="1742" spans="1:17" ht="45" hidden="1" outlineLevel="1">
      <c r="E1742" s="20"/>
      <c r="F1742" s="120" t="s">
        <v>3591</v>
      </c>
      <c r="G1742" s="113">
        <v>101166</v>
      </c>
      <c r="H1742" s="114" t="s">
        <v>1721</v>
      </c>
      <c r="I1742" s="115" t="s">
        <v>2815</v>
      </c>
      <c r="J1742" s="131"/>
      <c r="K1742" s="132"/>
      <c r="L1742" s="133"/>
      <c r="M1742" s="132"/>
      <c r="N1742" s="134"/>
      <c r="O1742" s="135">
        <f>SUM(O1743)</f>
        <v>19.690000000000001</v>
      </c>
      <c r="P1742" s="185"/>
      <c r="Q1742" s="185"/>
    </row>
    <row r="1743" spans="1:17" hidden="1" outlineLevel="1">
      <c r="E1743" s="20"/>
      <c r="F1743" s="21"/>
      <c r="G1743" s="22"/>
      <c r="H1743" s="23"/>
      <c r="I1743" s="24"/>
      <c r="J1743" s="46"/>
      <c r="K1743" s="10"/>
      <c r="L1743" s="32"/>
      <c r="M1743" s="47"/>
      <c r="N1743" s="166">
        <v>19.690000000000001</v>
      </c>
      <c r="O1743" s="139">
        <f>ROUND(PRODUCT(J1743:N1743),2)</f>
        <v>19.690000000000001</v>
      </c>
      <c r="P1743" s="185"/>
      <c r="Q1743" s="185"/>
    </row>
    <row r="1744" spans="1:17" collapsed="1">
      <c r="E1744" s="44" t="s">
        <v>3592</v>
      </c>
      <c r="F1744" s="45" t="s">
        <v>3592</v>
      </c>
      <c r="G1744" s="13"/>
      <c r="H1744" s="14" t="s">
        <v>76</v>
      </c>
      <c r="I1744" s="15"/>
      <c r="J1744" s="16"/>
      <c r="K1744" s="17"/>
      <c r="L1744" s="16"/>
      <c r="M1744" s="17"/>
      <c r="N1744" s="18"/>
      <c r="O1744" s="19"/>
      <c r="P1744" s="185"/>
      <c r="Q1744" s="185"/>
    </row>
    <row r="1745" spans="1:17" ht="30" hidden="1" outlineLevel="1">
      <c r="A1745" s="2">
        <v>6</v>
      </c>
      <c r="B1745" s="2">
        <v>2</v>
      </c>
      <c r="C1745" s="2">
        <f>1+C1742</f>
        <v>1</v>
      </c>
      <c r="E1745" s="20" t="str">
        <f>CONCATENATE(A1745,".",B1745,".",C1745)</f>
        <v>6.2.1</v>
      </c>
      <c r="F1745" s="21" t="s">
        <v>3593</v>
      </c>
      <c r="G1745" s="22" t="s">
        <v>78</v>
      </c>
      <c r="H1745" s="23" t="s">
        <v>79</v>
      </c>
      <c r="I1745" s="24" t="s">
        <v>80</v>
      </c>
      <c r="J1745" s="25"/>
      <c r="K1745" s="10"/>
      <c r="L1745" s="32"/>
      <c r="M1745" s="10"/>
      <c r="N1745" s="33"/>
      <c r="O1745" s="27">
        <f>SUM(O1746:O1747)</f>
        <v>507.3</v>
      </c>
      <c r="P1745" s="185"/>
      <c r="Q1745" s="185"/>
    </row>
    <row r="1746" spans="1:17" hidden="1" outlineLevel="2">
      <c r="E1746" s="20"/>
      <c r="F1746" s="21"/>
      <c r="G1746" s="34"/>
      <c r="H1746" s="30" t="s">
        <v>2847</v>
      </c>
      <c r="I1746" s="35"/>
      <c r="J1746" s="50"/>
      <c r="K1746" s="33"/>
      <c r="L1746" s="41"/>
      <c r="M1746" s="33"/>
      <c r="N1746" s="33">
        <v>187.3</v>
      </c>
      <c r="O1746" s="31">
        <f>ROUND(PRODUCT(J1746:N1746),2)</f>
        <v>187.3</v>
      </c>
      <c r="P1746" s="185"/>
      <c r="Q1746" s="185"/>
    </row>
    <row r="1747" spans="1:17" hidden="1" outlineLevel="2">
      <c r="E1747" s="20"/>
      <c r="F1747" s="21"/>
      <c r="G1747" s="34"/>
      <c r="H1747" s="30" t="s">
        <v>2852</v>
      </c>
      <c r="I1747" s="35"/>
      <c r="J1747" s="50"/>
      <c r="K1747" s="33"/>
      <c r="L1747" s="41"/>
      <c r="M1747" s="33"/>
      <c r="N1747" s="33">
        <v>320</v>
      </c>
      <c r="O1747" s="31">
        <f>ROUND(PRODUCT(J1747:N1747),2)</f>
        <v>320</v>
      </c>
      <c r="P1747" s="185"/>
      <c r="Q1747" s="185"/>
    </row>
    <row r="1748" spans="1:17" ht="30" hidden="1" outlineLevel="1">
      <c r="A1748" s="2">
        <v>6</v>
      </c>
      <c r="B1748" s="2">
        <v>2</v>
      </c>
      <c r="C1748" s="2">
        <f>1+C1745</f>
        <v>2</v>
      </c>
      <c r="E1748" s="20" t="str">
        <f>CONCATENATE(A1748,".",B1748,".",C1748)</f>
        <v>6.2.2</v>
      </c>
      <c r="F1748" s="21" t="s">
        <v>3594</v>
      </c>
      <c r="G1748" s="22" t="s">
        <v>82</v>
      </c>
      <c r="H1748" s="23" t="s">
        <v>83</v>
      </c>
      <c r="I1748" s="24" t="s">
        <v>80</v>
      </c>
      <c r="J1748" s="51"/>
      <c r="K1748" s="10"/>
      <c r="L1748" s="32"/>
      <c r="M1748" s="10"/>
      <c r="N1748" s="33"/>
      <c r="O1748" s="27">
        <f>SUM(O1749:O1749)</f>
        <v>138.1</v>
      </c>
      <c r="P1748" s="185"/>
      <c r="Q1748" s="185"/>
    </row>
    <row r="1749" spans="1:17" hidden="1" outlineLevel="1">
      <c r="E1749" s="20"/>
      <c r="F1749" s="21"/>
      <c r="G1749" s="22"/>
      <c r="H1749" s="30" t="s">
        <v>2852</v>
      </c>
      <c r="I1749" s="35"/>
      <c r="J1749" s="50"/>
      <c r="K1749" s="33"/>
      <c r="L1749" s="41"/>
      <c r="M1749" s="33"/>
      <c r="N1749" s="33">
        <v>138.1</v>
      </c>
      <c r="O1749" s="31">
        <f>ROUND(PRODUCT(J1749:N1749),2)</f>
        <v>138.1</v>
      </c>
      <c r="P1749" s="185"/>
      <c r="Q1749" s="185"/>
    </row>
    <row r="1750" spans="1:17" ht="30" hidden="1" outlineLevel="1">
      <c r="A1750" s="2">
        <v>6</v>
      </c>
      <c r="B1750" s="2">
        <v>2</v>
      </c>
      <c r="C1750" s="2">
        <f>1+C1748</f>
        <v>3</v>
      </c>
      <c r="E1750" s="20" t="str">
        <f>CONCATENATE(A1750,".",B1750,".",C1750)</f>
        <v>6.2.3</v>
      </c>
      <c r="F1750" s="21" t="s">
        <v>3595</v>
      </c>
      <c r="G1750" s="22">
        <v>92761</v>
      </c>
      <c r="H1750" s="23" t="s">
        <v>86</v>
      </c>
      <c r="I1750" s="24" t="s">
        <v>80</v>
      </c>
      <c r="J1750" s="51"/>
      <c r="K1750" s="10"/>
      <c r="L1750" s="32"/>
      <c r="M1750" s="10"/>
      <c r="N1750" s="33"/>
      <c r="O1750" s="27">
        <f>SUM(O1751)</f>
        <v>115.9</v>
      </c>
      <c r="P1750" s="185"/>
      <c r="Q1750" s="185"/>
    </row>
    <row r="1751" spans="1:17" hidden="1" outlineLevel="2">
      <c r="E1751" s="20"/>
      <c r="F1751" s="21"/>
      <c r="G1751" s="34"/>
      <c r="H1751" s="30" t="s">
        <v>2852</v>
      </c>
      <c r="I1751" s="35"/>
      <c r="J1751" s="50"/>
      <c r="K1751" s="33"/>
      <c r="L1751" s="41"/>
      <c r="M1751" s="33"/>
      <c r="N1751" s="33">
        <v>115.9</v>
      </c>
      <c r="O1751" s="31">
        <f>ROUND(PRODUCT(J1751:N1751),2)</f>
        <v>115.9</v>
      </c>
      <c r="P1751" s="185"/>
      <c r="Q1751" s="185"/>
    </row>
    <row r="1752" spans="1:17" ht="30" hidden="1" outlineLevel="1">
      <c r="A1752" s="2">
        <v>6</v>
      </c>
      <c r="B1752" s="2">
        <v>2</v>
      </c>
      <c r="C1752" s="2">
        <f>1+C1750</f>
        <v>4</v>
      </c>
      <c r="E1752" s="20" t="str">
        <f>CONCATENATE(A1752,".",B1752,".",C1752)</f>
        <v>6.2.4</v>
      </c>
      <c r="F1752" s="21" t="s">
        <v>3596</v>
      </c>
      <c r="G1752" s="22" t="s">
        <v>88</v>
      </c>
      <c r="H1752" s="23" t="s">
        <v>89</v>
      </c>
      <c r="I1752" s="24" t="s">
        <v>80</v>
      </c>
      <c r="J1752" s="51"/>
      <c r="K1752" s="10"/>
      <c r="L1752" s="32"/>
      <c r="M1752" s="10"/>
      <c r="N1752" s="33"/>
      <c r="O1752" s="27">
        <f>SUM(O1753:O1754)</f>
        <v>785.5</v>
      </c>
      <c r="P1752" s="185"/>
      <c r="Q1752" s="185"/>
    </row>
    <row r="1753" spans="1:17" hidden="1" outlineLevel="2">
      <c r="E1753" s="20"/>
      <c r="F1753" s="21"/>
      <c r="G1753" s="34"/>
      <c r="H1753" s="30" t="s">
        <v>2847</v>
      </c>
      <c r="I1753" s="35"/>
      <c r="J1753" s="50"/>
      <c r="K1753" s="33"/>
      <c r="L1753" s="41"/>
      <c r="M1753" s="33"/>
      <c r="N1753" s="33">
        <v>326.2</v>
      </c>
      <c r="O1753" s="31">
        <f>ROUND(PRODUCT(J1753:N1753),2)</f>
        <v>326.2</v>
      </c>
      <c r="P1753" s="185"/>
      <c r="Q1753" s="185"/>
    </row>
    <row r="1754" spans="1:17" hidden="1" outlineLevel="2">
      <c r="E1754" s="20"/>
      <c r="F1754" s="21"/>
      <c r="G1754" s="34"/>
      <c r="H1754" s="30" t="s">
        <v>2852</v>
      </c>
      <c r="I1754" s="35"/>
      <c r="J1754" s="50"/>
      <c r="K1754" s="33"/>
      <c r="L1754" s="41"/>
      <c r="M1754" s="33"/>
      <c r="N1754" s="33">
        <v>459.3</v>
      </c>
      <c r="O1754" s="31">
        <f>ROUND(PRODUCT(J1754:N1754),2)</f>
        <v>459.3</v>
      </c>
      <c r="P1754" s="185"/>
      <c r="Q1754" s="185"/>
    </row>
    <row r="1755" spans="1:17" ht="30" hidden="1" outlineLevel="1">
      <c r="A1755" s="2">
        <v>6</v>
      </c>
      <c r="B1755" s="2">
        <v>2</v>
      </c>
      <c r="C1755" s="2">
        <f>1+C1752</f>
        <v>5</v>
      </c>
      <c r="E1755" s="20" t="str">
        <f>CONCATENATE(A1755,".",B1755,".",C1755)</f>
        <v>6.2.5</v>
      </c>
      <c r="F1755" s="21" t="s">
        <v>3597</v>
      </c>
      <c r="G1755" s="22" t="s">
        <v>91</v>
      </c>
      <c r="H1755" s="23" t="s">
        <v>92</v>
      </c>
      <c r="I1755" s="24" t="s">
        <v>80</v>
      </c>
      <c r="J1755" s="51"/>
      <c r="K1755" s="10"/>
      <c r="L1755" s="32"/>
      <c r="M1755" s="10"/>
      <c r="N1755" s="33"/>
      <c r="O1755" s="27">
        <f>SUM(O1756:O1757)</f>
        <v>1160.4000000000001</v>
      </c>
      <c r="P1755" s="185"/>
      <c r="Q1755" s="185"/>
    </row>
    <row r="1756" spans="1:17" hidden="1" outlineLevel="2">
      <c r="E1756" s="20"/>
      <c r="F1756" s="21"/>
      <c r="G1756" s="34"/>
      <c r="H1756" s="30" t="s">
        <v>2847</v>
      </c>
      <c r="I1756" s="35"/>
      <c r="J1756" s="50"/>
      <c r="K1756" s="33"/>
      <c r="L1756" s="41"/>
      <c r="M1756" s="33"/>
      <c r="N1756" s="33">
        <v>458.5</v>
      </c>
      <c r="O1756" s="31">
        <f>ROUND(PRODUCT(J1756:N1756),2)</f>
        <v>458.5</v>
      </c>
      <c r="P1756" s="185"/>
      <c r="Q1756" s="185"/>
    </row>
    <row r="1757" spans="1:17" hidden="1" outlineLevel="2">
      <c r="E1757" s="20"/>
      <c r="F1757" s="21"/>
      <c r="G1757" s="34"/>
      <c r="H1757" s="30" t="s">
        <v>2852</v>
      </c>
      <c r="I1757" s="35"/>
      <c r="J1757" s="50"/>
      <c r="K1757" s="33"/>
      <c r="L1757" s="41"/>
      <c r="M1757" s="33"/>
      <c r="N1757" s="33">
        <v>701.9</v>
      </c>
      <c r="O1757" s="31">
        <f>ROUND(PRODUCT(J1757:N1757),2)</f>
        <v>701.9</v>
      </c>
      <c r="P1757" s="185"/>
      <c r="Q1757" s="185"/>
    </row>
    <row r="1758" spans="1:17" ht="30" hidden="1" outlineLevel="1">
      <c r="A1758" s="2">
        <v>6</v>
      </c>
      <c r="B1758" s="2">
        <v>2</v>
      </c>
      <c r="C1758" s="2">
        <f>1+C1755</f>
        <v>6</v>
      </c>
      <c r="E1758" s="20" t="str">
        <f>CONCATENATE(A1758,".",B1758,".",C1758)</f>
        <v>6.2.6</v>
      </c>
      <c r="F1758" s="21" t="s">
        <v>3598</v>
      </c>
      <c r="G1758" s="22">
        <v>92764</v>
      </c>
      <c r="H1758" s="23" t="s">
        <v>95</v>
      </c>
      <c r="I1758" s="24" t="s">
        <v>80</v>
      </c>
      <c r="J1758" s="51"/>
      <c r="K1758" s="10"/>
      <c r="L1758" s="32"/>
      <c r="M1758" s="10"/>
      <c r="N1758" s="33"/>
      <c r="O1758" s="27">
        <f>SUM(O1759:O1760)</f>
        <v>348.8</v>
      </c>
      <c r="P1758" s="185"/>
      <c r="Q1758" s="185"/>
    </row>
    <row r="1759" spans="1:17" hidden="1" outlineLevel="1">
      <c r="E1759" s="20"/>
      <c r="F1759" s="21"/>
      <c r="G1759" s="22"/>
      <c r="H1759" s="30" t="s">
        <v>2847</v>
      </c>
      <c r="I1759" s="35"/>
      <c r="J1759" s="50"/>
      <c r="K1759" s="33"/>
      <c r="L1759" s="41"/>
      <c r="M1759" s="33"/>
      <c r="N1759" s="33">
        <v>202.8</v>
      </c>
      <c r="O1759" s="31">
        <f>ROUND(PRODUCT(J1759:N1759),2)</f>
        <v>202.8</v>
      </c>
      <c r="P1759" s="185"/>
      <c r="Q1759" s="185"/>
    </row>
    <row r="1760" spans="1:17" hidden="1" outlineLevel="2">
      <c r="E1760" s="20"/>
      <c r="F1760" s="21"/>
      <c r="G1760" s="34"/>
      <c r="H1760" s="30" t="s">
        <v>2852</v>
      </c>
      <c r="I1760" s="35"/>
      <c r="J1760" s="50"/>
      <c r="K1760" s="33"/>
      <c r="L1760" s="41"/>
      <c r="M1760" s="33"/>
      <c r="N1760" s="33">
        <v>146</v>
      </c>
      <c r="O1760" s="31">
        <f>ROUND(PRODUCT(J1760:N1760),2)</f>
        <v>146</v>
      </c>
      <c r="P1760" s="185"/>
      <c r="Q1760" s="185"/>
    </row>
    <row r="1761" spans="1:17" ht="30" hidden="1" outlineLevel="1">
      <c r="A1761" s="2">
        <v>6</v>
      </c>
      <c r="B1761" s="2">
        <v>2</v>
      </c>
      <c r="C1761" s="2" t="e">
        <f>1+#REF!</f>
        <v>#REF!</v>
      </c>
      <c r="E1761" s="20" t="e">
        <f>CONCATENATE(A1761,".",B1761,".",C1761)</f>
        <v>#REF!</v>
      </c>
      <c r="F1761" s="21" t="s">
        <v>3599</v>
      </c>
      <c r="G1761" s="22" t="s">
        <v>109</v>
      </c>
      <c r="H1761" s="23" t="s">
        <v>110</v>
      </c>
      <c r="I1761" s="24" t="s">
        <v>80</v>
      </c>
      <c r="J1761" s="25"/>
      <c r="K1761" s="10"/>
      <c r="L1761" s="32"/>
      <c r="M1761" s="10"/>
      <c r="N1761" s="33"/>
      <c r="O1761" s="27">
        <f>SUM(O1762:O1762)</f>
        <v>45.3</v>
      </c>
      <c r="P1761" s="185"/>
      <c r="Q1761" s="185"/>
    </row>
    <row r="1762" spans="1:17" hidden="1" outlineLevel="2">
      <c r="E1762" s="20"/>
      <c r="F1762" s="21"/>
      <c r="G1762" s="34"/>
      <c r="H1762" s="30"/>
      <c r="I1762" s="35"/>
      <c r="J1762" s="50"/>
      <c r="K1762" s="33"/>
      <c r="L1762" s="41"/>
      <c r="M1762" s="33"/>
      <c r="N1762" s="33">
        <v>45.3</v>
      </c>
      <c r="O1762" s="31">
        <f>ROUND(PRODUCT(J1762:N1762),2)</f>
        <v>45.3</v>
      </c>
      <c r="P1762" s="185"/>
      <c r="Q1762" s="185"/>
    </row>
    <row r="1763" spans="1:17" ht="30" hidden="1" outlineLevel="1">
      <c r="A1763" s="2">
        <v>6</v>
      </c>
      <c r="B1763" s="2">
        <v>2</v>
      </c>
      <c r="C1763" s="2" t="e">
        <f>1+C1761</f>
        <v>#REF!</v>
      </c>
      <c r="E1763" s="20" t="e">
        <f>CONCATENATE(A1763,".",B1763,".",C1763)</f>
        <v>#REF!</v>
      </c>
      <c r="F1763" s="21" t="s">
        <v>3600</v>
      </c>
      <c r="G1763" s="22">
        <v>92768</v>
      </c>
      <c r="H1763" s="23" t="s">
        <v>119</v>
      </c>
      <c r="I1763" s="24" t="s">
        <v>80</v>
      </c>
      <c r="J1763" s="25"/>
      <c r="K1763" s="10"/>
      <c r="L1763" s="32"/>
      <c r="M1763" s="10"/>
      <c r="N1763" s="33"/>
      <c r="O1763" s="27">
        <f>SUM(O1764)</f>
        <v>118.6</v>
      </c>
      <c r="P1763" s="185"/>
      <c r="Q1763" s="185"/>
    </row>
    <row r="1764" spans="1:17" hidden="1" outlineLevel="2">
      <c r="E1764" s="20"/>
      <c r="F1764" s="21"/>
      <c r="G1764" s="34"/>
      <c r="H1764" s="30"/>
      <c r="I1764" s="35"/>
      <c r="J1764" s="50"/>
      <c r="K1764" s="33"/>
      <c r="L1764" s="41"/>
      <c r="M1764" s="33"/>
      <c r="N1764" s="33">
        <v>118.6</v>
      </c>
      <c r="O1764" s="31">
        <f>ROUND(PRODUCT(J1764:N1764),2)</f>
        <v>118.6</v>
      </c>
      <c r="P1764" s="185"/>
      <c r="Q1764" s="185"/>
    </row>
    <row r="1765" spans="1:17" ht="45" hidden="1" outlineLevel="1">
      <c r="A1765" s="2">
        <v>6</v>
      </c>
      <c r="B1765" s="2">
        <v>2</v>
      </c>
      <c r="C1765" s="2" t="e">
        <f>1+#REF!</f>
        <v>#REF!</v>
      </c>
      <c r="E1765" s="20" t="e">
        <f>CONCATENATE(A1765,".",B1765,".",C1765)</f>
        <v>#REF!</v>
      </c>
      <c r="F1765" s="21" t="s">
        <v>3601</v>
      </c>
      <c r="G1765" s="22">
        <v>92431</v>
      </c>
      <c r="H1765" s="23" t="s">
        <v>965</v>
      </c>
      <c r="I1765" s="24" t="s">
        <v>276</v>
      </c>
      <c r="J1765" s="25"/>
      <c r="K1765" s="10"/>
      <c r="L1765" s="32"/>
      <c r="M1765" s="10"/>
      <c r="N1765" s="33"/>
      <c r="O1765" s="27">
        <f>SUM(O1766)</f>
        <v>146.72999999999999</v>
      </c>
      <c r="P1765" s="185"/>
      <c r="Q1765" s="185"/>
    </row>
    <row r="1766" spans="1:17" hidden="1" outlineLevel="2">
      <c r="E1766" s="20"/>
      <c r="F1766" s="21"/>
      <c r="G1766" s="34"/>
      <c r="H1766" s="30" t="s">
        <v>2847</v>
      </c>
      <c r="I1766" s="35"/>
      <c r="J1766" s="40"/>
      <c r="K1766" s="33"/>
      <c r="L1766" s="41"/>
      <c r="M1766" s="33"/>
      <c r="N1766" s="33">
        <v>146.72999999999999</v>
      </c>
      <c r="O1766" s="31">
        <f>ROUND(PRODUCT(J1766:N1766),2)</f>
        <v>146.72999999999999</v>
      </c>
      <c r="P1766" s="185"/>
      <c r="Q1766" s="185"/>
    </row>
    <row r="1767" spans="1:17" ht="30" hidden="1" outlineLevel="1">
      <c r="A1767" s="2">
        <v>6</v>
      </c>
      <c r="B1767" s="2">
        <v>2</v>
      </c>
      <c r="C1767" s="2" t="e">
        <f>1+C1765</f>
        <v>#REF!</v>
      </c>
      <c r="E1767" s="20" t="e">
        <f>CONCATENATE(A1767,".",B1767,".",C1767)</f>
        <v>#REF!</v>
      </c>
      <c r="F1767" s="21" t="s">
        <v>3602</v>
      </c>
      <c r="G1767" s="22">
        <v>92468</v>
      </c>
      <c r="H1767" s="23" t="s">
        <v>968</v>
      </c>
      <c r="I1767" s="24" t="s">
        <v>276</v>
      </c>
      <c r="J1767" s="25"/>
      <c r="K1767" s="10"/>
      <c r="L1767" s="32"/>
      <c r="M1767" s="10"/>
      <c r="N1767" s="33"/>
      <c r="O1767" s="27">
        <f>SUM(O1768:O1768)</f>
        <v>282.86</v>
      </c>
      <c r="P1767" s="185"/>
      <c r="Q1767" s="185"/>
    </row>
    <row r="1768" spans="1:17" hidden="1" outlineLevel="2">
      <c r="E1768" s="20"/>
      <c r="F1768" s="21"/>
      <c r="G1768" s="34"/>
      <c r="H1768" s="30" t="s">
        <v>2852</v>
      </c>
      <c r="I1768" s="35"/>
      <c r="J1768" s="40"/>
      <c r="K1768" s="33"/>
      <c r="L1768" s="41"/>
      <c r="M1768" s="33"/>
      <c r="N1768" s="33">
        <v>282.86</v>
      </c>
      <c r="O1768" s="31">
        <f>ROUND(PRODUCT(J1768:N1768),2)</f>
        <v>282.86</v>
      </c>
      <c r="P1768" s="185"/>
      <c r="Q1768" s="185"/>
    </row>
    <row r="1769" spans="1:17" ht="30" hidden="1" outlineLevel="1">
      <c r="A1769" s="2">
        <v>6</v>
      </c>
      <c r="B1769" s="2">
        <v>2</v>
      </c>
      <c r="C1769" s="2" t="e">
        <f>1+#REF!</f>
        <v>#REF!</v>
      </c>
      <c r="E1769" s="20" t="e">
        <f>CONCATENATE(A1769,".",B1769,".",C1769)</f>
        <v>#REF!</v>
      </c>
      <c r="F1769" s="21" t="s">
        <v>3603</v>
      </c>
      <c r="G1769" s="22">
        <v>97090</v>
      </c>
      <c r="H1769" s="23" t="s">
        <v>971</v>
      </c>
      <c r="I1769" s="24" t="s">
        <v>80</v>
      </c>
      <c r="J1769" s="25"/>
      <c r="K1769" s="10"/>
      <c r="L1769" s="32"/>
      <c r="M1769" s="10"/>
      <c r="N1769" s="33"/>
      <c r="O1769" s="27">
        <f>SUM(O1770)</f>
        <v>369.92</v>
      </c>
      <c r="P1769" s="185"/>
      <c r="Q1769" s="185"/>
    </row>
    <row r="1770" spans="1:17" hidden="1" outlineLevel="2">
      <c r="E1770" s="20"/>
      <c r="F1770" s="21"/>
      <c r="G1770" s="34"/>
      <c r="H1770" s="30"/>
      <c r="I1770" s="35"/>
      <c r="J1770" s="40"/>
      <c r="K1770" s="33"/>
      <c r="L1770" s="41"/>
      <c r="M1770" s="33"/>
      <c r="N1770" s="33">
        <v>369.92</v>
      </c>
      <c r="O1770" s="31">
        <f>ROUND(PRODUCT(J1770:N1770),2)</f>
        <v>369.92</v>
      </c>
      <c r="P1770" s="185"/>
      <c r="Q1770" s="185"/>
    </row>
    <row r="1771" spans="1:17" ht="45" hidden="1" outlineLevel="1">
      <c r="A1771" s="2">
        <v>6</v>
      </c>
      <c r="B1771" s="2">
        <v>2</v>
      </c>
      <c r="C1771" s="2" t="e">
        <f>1+C1769</f>
        <v>#REF!</v>
      </c>
      <c r="E1771" s="20" t="e">
        <f>CONCATENATE(A1771,".",B1771,".",C1771)</f>
        <v>#REF!</v>
      </c>
      <c r="F1771" s="21" t="s">
        <v>3604</v>
      </c>
      <c r="G1771" s="113">
        <v>604</v>
      </c>
      <c r="H1771" s="114" t="s">
        <v>2846</v>
      </c>
      <c r="I1771" s="115" t="s">
        <v>2815</v>
      </c>
      <c r="J1771" s="25"/>
      <c r="K1771" s="10"/>
      <c r="L1771" s="32"/>
      <c r="M1771" s="10"/>
      <c r="N1771" s="33"/>
      <c r="O1771" s="27">
        <f>SUM(O1772:O1774)</f>
        <v>54.83</v>
      </c>
      <c r="P1771" s="185"/>
      <c r="Q1771" s="185"/>
    </row>
    <row r="1772" spans="1:17" hidden="1" outlineLevel="2">
      <c r="E1772" s="20"/>
      <c r="F1772" s="21"/>
      <c r="G1772" s="34"/>
      <c r="H1772" s="30" t="s">
        <v>3605</v>
      </c>
      <c r="I1772" s="35"/>
      <c r="J1772" s="40"/>
      <c r="K1772" s="33"/>
      <c r="L1772" s="41"/>
      <c r="M1772" s="33"/>
      <c r="N1772" s="33">
        <v>22.72</v>
      </c>
      <c r="O1772" s="31">
        <f>ROUND(PRODUCT(J1772:N1772),2)</f>
        <v>22.72</v>
      </c>
      <c r="P1772" s="185"/>
      <c r="Q1772" s="185"/>
    </row>
    <row r="1773" spans="1:17" hidden="1" outlineLevel="2">
      <c r="E1773" s="20"/>
      <c r="F1773" s="21"/>
      <c r="G1773" s="34"/>
      <c r="H1773" s="30" t="s">
        <v>2852</v>
      </c>
      <c r="I1773" s="35"/>
      <c r="J1773" s="40"/>
      <c r="K1773" s="33"/>
      <c r="L1773" s="41"/>
      <c r="M1773" s="33"/>
      <c r="N1773" s="33">
        <v>24.16</v>
      </c>
      <c r="O1773" s="31">
        <f>ROUND(PRODUCT(J1773:N1773),2)</f>
        <v>24.16</v>
      </c>
      <c r="P1773" s="185"/>
      <c r="Q1773" s="185"/>
    </row>
    <row r="1774" spans="1:17" hidden="1" outlineLevel="2">
      <c r="E1774" s="20"/>
      <c r="F1774" s="21"/>
      <c r="G1774" s="34"/>
      <c r="H1774" s="30" t="s">
        <v>2847</v>
      </c>
      <c r="I1774" s="35"/>
      <c r="J1774" s="40"/>
      <c r="K1774" s="33"/>
      <c r="L1774" s="41"/>
      <c r="M1774" s="33"/>
      <c r="N1774" s="33">
        <v>7.95</v>
      </c>
      <c r="O1774" s="31">
        <f>ROUND(PRODUCT(J1774:N1774),2)</f>
        <v>7.95</v>
      </c>
      <c r="P1774" s="185"/>
      <c r="Q1774" s="185"/>
    </row>
    <row r="1775" spans="1:17" collapsed="1">
      <c r="E1775" s="44" t="s">
        <v>3606</v>
      </c>
      <c r="F1775" s="45" t="s">
        <v>3606</v>
      </c>
      <c r="G1775" s="13"/>
      <c r="H1775" s="14" t="s">
        <v>134</v>
      </c>
      <c r="I1775" s="15"/>
      <c r="J1775" s="16"/>
      <c r="K1775" s="17"/>
      <c r="L1775" s="16"/>
      <c r="M1775" s="17"/>
      <c r="N1775" s="18"/>
      <c r="O1775" s="19"/>
      <c r="P1775" s="185"/>
      <c r="Q1775" s="185"/>
    </row>
    <row r="1776" spans="1:17" ht="45" hidden="1" outlineLevel="1">
      <c r="A1776" s="2">
        <v>6</v>
      </c>
      <c r="B1776" s="2">
        <v>3</v>
      </c>
      <c r="C1776" s="2">
        <v>1</v>
      </c>
      <c r="E1776" s="54" t="str">
        <f>CONCATENATE(A1776,".",B1776,".",C1776)</f>
        <v>6.3.1</v>
      </c>
      <c r="F1776" s="21" t="s">
        <v>3607</v>
      </c>
      <c r="G1776" s="22" t="s">
        <v>976</v>
      </c>
      <c r="H1776" s="23" t="s">
        <v>977</v>
      </c>
      <c r="I1776" s="24" t="s">
        <v>45</v>
      </c>
      <c r="J1776" s="25"/>
      <c r="K1776" s="10"/>
      <c r="L1776" s="32"/>
      <c r="M1776" s="10"/>
      <c r="N1776" s="33"/>
      <c r="O1776" s="11">
        <f>SUM(O1777:O1807)</f>
        <v>636.65000000000009</v>
      </c>
      <c r="P1776" s="185"/>
      <c r="Q1776" s="185"/>
    </row>
    <row r="1777" spans="5:15" ht="14.25" hidden="1" outlineLevel="2">
      <c r="E1777" s="59"/>
      <c r="F1777" s="60"/>
      <c r="G1777" s="34"/>
      <c r="H1777" s="30" t="s">
        <v>3608</v>
      </c>
      <c r="I1777" s="62"/>
      <c r="J1777" s="37"/>
      <c r="K1777" s="38">
        <f>3.96+2.43+4.01+4.01</f>
        <v>14.41</v>
      </c>
      <c r="L1777" s="37"/>
      <c r="M1777" s="38">
        <v>2.6</v>
      </c>
      <c r="N1777" s="38"/>
      <c r="O1777" s="68">
        <f t="shared" ref="O1777:O1807" si="52">ROUND(PRODUCT(J1777:N1777),2)</f>
        <v>37.47</v>
      </c>
    </row>
    <row r="1778" spans="5:15" ht="14.25" hidden="1" outlineLevel="2">
      <c r="E1778" s="59"/>
      <c r="F1778" s="60"/>
      <c r="G1778" s="34"/>
      <c r="H1778" s="30" t="str">
        <f>_xlfn.CONCAT(H1777," - VÃO")</f>
        <v>DEPÓSITO UTENSILIOS - VÃO</v>
      </c>
      <c r="I1778" s="62"/>
      <c r="J1778" s="37">
        <v>-1</v>
      </c>
      <c r="K1778" s="38"/>
      <c r="L1778" s="37"/>
      <c r="M1778" s="38"/>
      <c r="N1778" s="38">
        <f>0.9*1.8+0.9*2.1+2.55*0.66</f>
        <v>5.1930000000000005</v>
      </c>
      <c r="O1778" s="68">
        <f t="shared" si="52"/>
        <v>-5.19</v>
      </c>
    </row>
    <row r="1779" spans="5:15" ht="14.25" hidden="1" outlineLevel="2">
      <c r="E1779" s="59"/>
      <c r="F1779" s="60"/>
      <c r="G1779" s="34"/>
      <c r="H1779" s="30" t="s">
        <v>3609</v>
      </c>
      <c r="I1779" s="62"/>
      <c r="J1779" s="37"/>
      <c r="K1779" s="38">
        <f>4.07+2.8</f>
        <v>6.87</v>
      </c>
      <c r="L1779" s="37"/>
      <c r="M1779" s="38">
        <v>2.6</v>
      </c>
      <c r="N1779" s="85"/>
      <c r="O1779" s="68">
        <f t="shared" si="52"/>
        <v>17.86</v>
      </c>
    </row>
    <row r="1780" spans="5:15" ht="14.25" hidden="1" outlineLevel="2">
      <c r="E1780" s="59"/>
      <c r="F1780" s="60"/>
      <c r="G1780" s="34"/>
      <c r="H1780" s="30" t="str">
        <f>_xlfn.CONCAT(H1779," - VÃO")</f>
        <v>LAVAGEM PRATOS - VÃO</v>
      </c>
      <c r="I1780" s="62"/>
      <c r="J1780" s="37">
        <v>-1</v>
      </c>
      <c r="K1780" s="38"/>
      <c r="L1780" s="37"/>
      <c r="M1780" s="38"/>
      <c r="N1780" s="38">
        <f>1.3*1.5+3.6*0.6</f>
        <v>4.1100000000000003</v>
      </c>
      <c r="O1780" s="68">
        <f t="shared" si="52"/>
        <v>-4.1100000000000003</v>
      </c>
    </row>
    <row r="1781" spans="5:15" ht="14.25" hidden="1" outlineLevel="2">
      <c r="E1781" s="59"/>
      <c r="F1781" s="60"/>
      <c r="G1781" s="34"/>
      <c r="H1781" s="30" t="s">
        <v>3610</v>
      </c>
      <c r="I1781" s="62"/>
      <c r="J1781" s="37"/>
      <c r="K1781" s="38">
        <f>4.95+11.55+4.95</f>
        <v>21.45</v>
      </c>
      <c r="L1781" s="37"/>
      <c r="M1781" s="38">
        <v>3.76</v>
      </c>
      <c r="N1781" s="85"/>
      <c r="O1781" s="68">
        <f t="shared" si="52"/>
        <v>80.650000000000006</v>
      </c>
    </row>
    <row r="1782" spans="5:15" ht="14.25" hidden="1" outlineLevel="2">
      <c r="E1782" s="59"/>
      <c r="F1782" s="60"/>
      <c r="G1782" s="34"/>
      <c r="H1782" s="30" t="str">
        <f>_xlfn.CONCAT(H1781," - VÃO")</f>
        <v>COZINHA - VÃO</v>
      </c>
      <c r="I1782" s="62"/>
      <c r="J1782" s="37">
        <v>-1</v>
      </c>
      <c r="K1782" s="38"/>
      <c r="L1782" s="37"/>
      <c r="M1782" s="38"/>
      <c r="N1782" s="38">
        <f>3.6*0.6+1.3*1.5*2+11*0.6+4.44*1.26</f>
        <v>18.2544</v>
      </c>
      <c r="O1782" s="68">
        <f t="shared" si="52"/>
        <v>-18.25</v>
      </c>
    </row>
    <row r="1783" spans="5:15" ht="14.25" hidden="1" outlineLevel="2">
      <c r="E1783" s="59"/>
      <c r="F1783" s="60"/>
      <c r="G1783" s="34"/>
      <c r="H1783" s="30" t="s">
        <v>3611</v>
      </c>
      <c r="I1783" s="62"/>
      <c r="J1783" s="37"/>
      <c r="K1783" s="38">
        <f>3.35+3.35+4.11</f>
        <v>10.81</v>
      </c>
      <c r="L1783" s="37"/>
      <c r="M1783" s="38">
        <v>3.76</v>
      </c>
      <c r="N1783" s="85"/>
      <c r="O1783" s="68">
        <f t="shared" si="52"/>
        <v>40.65</v>
      </c>
    </row>
    <row r="1784" spans="5:15" ht="14.25" hidden="1" outlineLevel="2">
      <c r="E1784" s="59"/>
      <c r="F1784" s="60"/>
      <c r="G1784" s="34"/>
      <c r="H1784" s="30" t="str">
        <f>_xlfn.CONCAT(H1783," - VÃO")</f>
        <v>DESPENSA FRIA - VÃO</v>
      </c>
      <c r="I1784" s="62"/>
      <c r="J1784" s="37">
        <v>-1</v>
      </c>
      <c r="K1784" s="38"/>
      <c r="L1784" s="37"/>
      <c r="M1784" s="38"/>
      <c r="N1784" s="38">
        <f>1*2.1+2.55+0.66</f>
        <v>5.3100000000000005</v>
      </c>
      <c r="O1784" s="68">
        <f t="shared" si="52"/>
        <v>-5.31</v>
      </c>
    </row>
    <row r="1785" spans="5:15" ht="14.25" hidden="1" outlineLevel="2">
      <c r="E1785" s="59"/>
      <c r="F1785" s="60"/>
      <c r="G1785" s="34"/>
      <c r="H1785" s="30" t="s">
        <v>3612</v>
      </c>
      <c r="I1785" s="62"/>
      <c r="J1785" s="37"/>
      <c r="K1785" s="38">
        <f>4.85+4.85+5.22</f>
        <v>14.919999999999998</v>
      </c>
      <c r="L1785" s="37"/>
      <c r="M1785" s="38">
        <v>3.76</v>
      </c>
      <c r="N1785" s="85"/>
      <c r="O1785" s="68">
        <f t="shared" si="52"/>
        <v>56.1</v>
      </c>
    </row>
    <row r="1786" spans="5:15" ht="14.25" hidden="1" outlineLevel="2">
      <c r="E1786" s="59"/>
      <c r="F1786" s="60"/>
      <c r="G1786" s="34"/>
      <c r="H1786" s="30" t="str">
        <f>_xlfn.CONCAT(H1785," - VÃO")</f>
        <v>DESPENSA SECA - VÃO</v>
      </c>
      <c r="I1786" s="62"/>
      <c r="J1786" s="37">
        <v>-1</v>
      </c>
      <c r="K1786" s="38"/>
      <c r="L1786" s="37"/>
      <c r="M1786" s="38"/>
      <c r="N1786" s="38">
        <f>0.9*2.1+4.44*0.66</f>
        <v>4.8204000000000011</v>
      </c>
      <c r="O1786" s="68">
        <f t="shared" si="52"/>
        <v>-4.82</v>
      </c>
    </row>
    <row r="1787" spans="5:15" ht="14.25" hidden="1" outlineLevel="2">
      <c r="E1787" s="59"/>
      <c r="F1787" s="60"/>
      <c r="G1787" s="34"/>
      <c r="H1787" s="30" t="s">
        <v>3613</v>
      </c>
      <c r="I1787" s="62"/>
      <c r="J1787" s="37"/>
      <c r="K1787" s="38">
        <f>4.2+4.2+5.22</f>
        <v>13.620000000000001</v>
      </c>
      <c r="L1787" s="37"/>
      <c r="M1787" s="38">
        <v>3.76</v>
      </c>
      <c r="N1787" s="85"/>
      <c r="O1787" s="68">
        <f t="shared" si="52"/>
        <v>51.21</v>
      </c>
    </row>
    <row r="1788" spans="5:15" ht="14.25" hidden="1" outlineLevel="2">
      <c r="E1788" s="59"/>
      <c r="F1788" s="60"/>
      <c r="G1788" s="34"/>
      <c r="H1788" s="30" t="str">
        <f>_xlfn.CONCAT(H1787," - VÃO")</f>
        <v>GREMIO - VÃO</v>
      </c>
      <c r="I1788" s="62"/>
      <c r="J1788" s="37">
        <v>-1</v>
      </c>
      <c r="K1788" s="38"/>
      <c r="L1788" s="37"/>
      <c r="M1788" s="38"/>
      <c r="N1788" s="38">
        <f>1.6*2.1+3.81*0.46</f>
        <v>5.1126000000000005</v>
      </c>
      <c r="O1788" s="68">
        <f t="shared" si="52"/>
        <v>-5.1100000000000003</v>
      </c>
    </row>
    <row r="1789" spans="5:15" ht="14.25" hidden="1" outlineLevel="2">
      <c r="E1789" s="59"/>
      <c r="F1789" s="60"/>
      <c r="G1789" s="34"/>
      <c r="H1789" s="30" t="s">
        <v>3614</v>
      </c>
      <c r="I1789" s="62"/>
      <c r="J1789" s="37"/>
      <c r="K1789" s="38">
        <f>3.4+3.4+1.4+1.4</f>
        <v>9.6</v>
      </c>
      <c r="L1789" s="37"/>
      <c r="M1789" s="38">
        <v>2.6</v>
      </c>
      <c r="N1789" s="85"/>
      <c r="O1789" s="68">
        <f t="shared" si="52"/>
        <v>24.96</v>
      </c>
    </row>
    <row r="1790" spans="5:15" ht="14.25" hidden="1" outlineLevel="2">
      <c r="E1790" s="59"/>
      <c r="F1790" s="60"/>
      <c r="G1790" s="34"/>
      <c r="H1790" s="30" t="str">
        <f>_xlfn.CONCAT(H1789," - VÃO")</f>
        <v>WC COZINHA FEM E MASC - VÃO</v>
      </c>
      <c r="I1790" s="62"/>
      <c r="J1790" s="37">
        <v>-1</v>
      </c>
      <c r="K1790" s="38"/>
      <c r="L1790" s="37"/>
      <c r="M1790" s="38"/>
      <c r="N1790" s="38">
        <f>2*0.9*2.1+1.29*0.46*2</f>
        <v>4.9668000000000001</v>
      </c>
      <c r="O1790" s="68">
        <f t="shared" si="52"/>
        <v>-4.97</v>
      </c>
    </row>
    <row r="1791" spans="5:15" ht="14.25" hidden="1" outlineLevel="2">
      <c r="E1791" s="59"/>
      <c r="F1791" s="60"/>
      <c r="G1791" s="34"/>
      <c r="H1791" s="30" t="s">
        <v>3615</v>
      </c>
      <c r="I1791" s="62"/>
      <c r="J1791" s="37"/>
      <c r="K1791" s="38">
        <f>1.12+2.69+3.1+4.08</f>
        <v>10.99</v>
      </c>
      <c r="L1791" s="37"/>
      <c r="M1791" s="38">
        <v>2.6</v>
      </c>
      <c r="N1791" s="85"/>
      <c r="O1791" s="68">
        <f t="shared" si="52"/>
        <v>28.57</v>
      </c>
    </row>
    <row r="1792" spans="5:15" ht="14.25" hidden="1" outlineLevel="2">
      <c r="E1792" s="59"/>
      <c r="F1792" s="60"/>
      <c r="G1792" s="34"/>
      <c r="H1792" s="30" t="str">
        <f>_xlfn.CONCAT(H1791," - VÃO")</f>
        <v>LAVAGEM PANELAS/CIRCULAÇÃO - VÃO</v>
      </c>
      <c r="I1792" s="62"/>
      <c r="J1792" s="37">
        <v>-1</v>
      </c>
      <c r="K1792" s="38"/>
      <c r="L1792" s="37"/>
      <c r="M1792" s="38"/>
      <c r="N1792" s="38">
        <v>0</v>
      </c>
      <c r="O1792" s="68">
        <f t="shared" si="52"/>
        <v>0</v>
      </c>
    </row>
    <row r="1793" spans="1:17" ht="14.25" hidden="1" outlineLevel="2">
      <c r="E1793" s="59"/>
      <c r="F1793" s="60"/>
      <c r="G1793" s="34"/>
      <c r="H1793" s="30" t="s">
        <v>3616</v>
      </c>
      <c r="I1793" s="62"/>
      <c r="J1793" s="37"/>
      <c r="K1793" s="38">
        <f>1.8+2.5+1.65+1.7+4.2</f>
        <v>11.85</v>
      </c>
      <c r="L1793" s="37"/>
      <c r="M1793" s="38">
        <v>3.76</v>
      </c>
      <c r="N1793" s="85"/>
      <c r="O1793" s="68">
        <f t="shared" si="52"/>
        <v>44.56</v>
      </c>
    </row>
    <row r="1794" spans="1:17" ht="14.25" hidden="1" outlineLevel="2">
      <c r="E1794" s="59"/>
      <c r="F1794" s="60"/>
      <c r="G1794" s="34"/>
      <c r="H1794" s="30" t="str">
        <f>_xlfn.CONCAT(H1793," - VÃO")</f>
        <v>CIRCULAÇÃO/DML - VÃO</v>
      </c>
      <c r="I1794" s="62"/>
      <c r="J1794" s="37">
        <v>-1</v>
      </c>
      <c r="K1794" s="38"/>
      <c r="L1794" s="37"/>
      <c r="M1794" s="38"/>
      <c r="N1794" s="38">
        <f>2*0.9*2.1+2*1*2.1</f>
        <v>7.98</v>
      </c>
      <c r="O1794" s="68">
        <f t="shared" si="52"/>
        <v>-7.98</v>
      </c>
    </row>
    <row r="1795" spans="1:17" ht="14.25" hidden="1" outlineLevel="2">
      <c r="E1795" s="59"/>
      <c r="F1795" s="60"/>
      <c r="G1795" s="34"/>
      <c r="H1795" s="30" t="s">
        <v>3617</v>
      </c>
      <c r="I1795" s="62"/>
      <c r="J1795" s="37"/>
      <c r="K1795" s="38">
        <f>4.7+7.53</f>
        <v>12.23</v>
      </c>
      <c r="L1795" s="37"/>
      <c r="M1795" s="38">
        <v>3.76</v>
      </c>
      <c r="N1795" s="85"/>
      <c r="O1795" s="68">
        <f t="shared" si="52"/>
        <v>45.98</v>
      </c>
    </row>
    <row r="1796" spans="1:17" ht="14.25" hidden="1" outlineLevel="2">
      <c r="E1796" s="59"/>
      <c r="F1796" s="60"/>
      <c r="G1796" s="34"/>
      <c r="H1796" s="30" t="str">
        <f>_xlfn.CONCAT(H1795," - VÃO")</f>
        <v>DESPENSA HORTIFRUTTI - VÃO</v>
      </c>
      <c r="I1796" s="62"/>
      <c r="J1796" s="37">
        <v>-1</v>
      </c>
      <c r="K1796" s="38"/>
      <c r="L1796" s="37"/>
      <c r="M1796" s="38"/>
      <c r="N1796" s="38">
        <f>4.44*0.46</f>
        <v>2.0424000000000002</v>
      </c>
      <c r="O1796" s="68">
        <f t="shared" si="52"/>
        <v>-2.04</v>
      </c>
    </row>
    <row r="1797" spans="1:17" ht="14.25" hidden="1" outlineLevel="2">
      <c r="E1797" s="59"/>
      <c r="F1797" s="60"/>
      <c r="G1797" s="34"/>
      <c r="H1797" s="30" t="s">
        <v>3618</v>
      </c>
      <c r="I1797" s="62"/>
      <c r="J1797" s="37"/>
      <c r="K1797" s="38">
        <f>4.35+7.53</f>
        <v>11.879999999999999</v>
      </c>
      <c r="L1797" s="37"/>
      <c r="M1797" s="38">
        <v>3.76</v>
      </c>
      <c r="N1797" s="85"/>
      <c r="O1797" s="68">
        <f t="shared" si="52"/>
        <v>44.67</v>
      </c>
    </row>
    <row r="1798" spans="1:17" ht="14.25" hidden="1" outlineLevel="2">
      <c r="E1798" s="59"/>
      <c r="F1798" s="60"/>
      <c r="G1798" s="34"/>
      <c r="H1798" s="30" t="str">
        <f>_xlfn.CONCAT(H1797," - VÃO")</f>
        <v>DEPOSITO/ MANUT DE MOBILIARIO - VÃO</v>
      </c>
      <c r="I1798" s="62"/>
      <c r="J1798" s="37">
        <v>-1</v>
      </c>
      <c r="K1798" s="38"/>
      <c r="L1798" s="37"/>
      <c r="M1798" s="38"/>
      <c r="N1798" s="38">
        <f>2*3.15*0.66+1.6*2.1</f>
        <v>7.5180000000000007</v>
      </c>
      <c r="O1798" s="68">
        <f t="shared" si="52"/>
        <v>-7.52</v>
      </c>
    </row>
    <row r="1799" spans="1:17" ht="14.25" hidden="1" outlineLevel="2">
      <c r="E1799" s="59"/>
      <c r="F1799" s="60"/>
      <c r="G1799" s="34"/>
      <c r="H1799" s="30" t="s">
        <v>3619</v>
      </c>
      <c r="I1799" s="62"/>
      <c r="J1799" s="37"/>
      <c r="K1799" s="38">
        <f>2.63+1.28+2.27+4.92+7.3+2.1+6.35</f>
        <v>26.85</v>
      </c>
      <c r="L1799" s="37"/>
      <c r="M1799" s="38">
        <v>2.6</v>
      </c>
      <c r="N1799" s="85"/>
      <c r="O1799" s="68">
        <f t="shared" si="52"/>
        <v>69.81</v>
      </c>
    </row>
    <row r="1800" spans="1:17" ht="14.25" hidden="1" outlineLevel="2">
      <c r="E1800" s="59"/>
      <c r="F1800" s="60"/>
      <c r="G1800" s="34"/>
      <c r="H1800" s="30" t="str">
        <f>_xlfn.CONCAT(H1799," - VÃO")</f>
        <v>VEST FUNC FEM / VEST FUNC MASC - VÃO</v>
      </c>
      <c r="I1800" s="62"/>
      <c r="J1800" s="37">
        <v>-1</v>
      </c>
      <c r="K1800" s="38"/>
      <c r="L1800" s="37"/>
      <c r="M1800" s="38"/>
      <c r="N1800" s="38">
        <f>2*0.9*2.1+1.92*0.66+1.92*0.46+2.55*0.66</f>
        <v>7.6134000000000004</v>
      </c>
      <c r="O1800" s="68">
        <f t="shared" si="52"/>
        <v>-7.61</v>
      </c>
    </row>
    <row r="1801" spans="1:17" ht="14.25" hidden="1" outlineLevel="2">
      <c r="E1801" s="59"/>
      <c r="F1801" s="60"/>
      <c r="G1801" s="34"/>
      <c r="H1801" s="30" t="s">
        <v>3620</v>
      </c>
      <c r="I1801" s="62"/>
      <c r="J1801" s="37"/>
      <c r="K1801" s="38">
        <v>1.3</v>
      </c>
      <c r="L1801" s="37"/>
      <c r="M1801" s="38">
        <v>4.7</v>
      </c>
      <c r="N1801" s="85"/>
      <c r="O1801" s="68">
        <f t="shared" si="52"/>
        <v>6.11</v>
      </c>
    </row>
    <row r="1802" spans="1:17" ht="14.25" hidden="1" outlineLevel="2">
      <c r="E1802" s="59"/>
      <c r="F1802" s="60"/>
      <c r="G1802" s="34"/>
      <c r="H1802" s="30" t="str">
        <f>_xlfn.CONCAT(H1801," - VÃO")</f>
        <v>CARGA E DESCARGA - VÃO</v>
      </c>
      <c r="I1802" s="62"/>
      <c r="J1802" s="37">
        <v>-1</v>
      </c>
      <c r="K1802" s="38"/>
      <c r="L1802" s="37"/>
      <c r="M1802" s="38"/>
      <c r="N1802" s="38">
        <v>0</v>
      </c>
      <c r="O1802" s="68">
        <f t="shared" si="52"/>
        <v>0</v>
      </c>
    </row>
    <row r="1803" spans="1:17" ht="14.25" hidden="1" outlineLevel="2">
      <c r="E1803" s="59"/>
      <c r="F1803" s="60"/>
      <c r="G1803" s="34"/>
      <c r="H1803" s="30" t="s">
        <v>3621</v>
      </c>
      <c r="I1803" s="62"/>
      <c r="J1803" s="37"/>
      <c r="K1803" s="38">
        <f>1.3+1.3+4.05+4.05</f>
        <v>10.7</v>
      </c>
      <c r="L1803" s="37"/>
      <c r="M1803" s="38">
        <v>4.7</v>
      </c>
      <c r="N1803" s="38"/>
      <c r="O1803" s="68">
        <f t="shared" si="52"/>
        <v>50.29</v>
      </c>
    </row>
    <row r="1804" spans="1:17" ht="14.25" hidden="1" outlineLevel="2">
      <c r="E1804" s="59"/>
      <c r="F1804" s="60"/>
      <c r="G1804" s="34"/>
      <c r="H1804" s="30" t="str">
        <f>_xlfn.CONCAT(H1803," - VÃO")</f>
        <v>LIXEIRA - VÃO</v>
      </c>
      <c r="I1804" s="62"/>
      <c r="J1804" s="37">
        <v>-1</v>
      </c>
      <c r="K1804" s="38"/>
      <c r="L1804" s="37"/>
      <c r="M1804" s="38"/>
      <c r="N1804" s="38">
        <f>2*1.8*2.1</f>
        <v>7.5600000000000005</v>
      </c>
      <c r="O1804" s="68">
        <f t="shared" si="52"/>
        <v>-7.56</v>
      </c>
    </row>
    <row r="1805" spans="1:17" ht="14.25" hidden="1" outlineLevel="2">
      <c r="E1805" s="59"/>
      <c r="F1805" s="60"/>
      <c r="G1805" s="34"/>
      <c r="H1805" s="30" t="s">
        <v>3622</v>
      </c>
      <c r="I1805" s="62"/>
      <c r="J1805" s="37"/>
      <c r="K1805" s="38">
        <f>7.75+7.75+13.98</f>
        <v>29.48</v>
      </c>
      <c r="L1805" s="37"/>
      <c r="M1805" s="38">
        <v>0.28000000000000003</v>
      </c>
      <c r="N1805" s="85"/>
      <c r="O1805" s="68">
        <f t="shared" si="52"/>
        <v>8.25</v>
      </c>
    </row>
    <row r="1806" spans="1:17" ht="14.25" hidden="1" outlineLevel="2">
      <c r="E1806" s="59"/>
      <c r="F1806" s="60"/>
      <c r="G1806" s="34"/>
      <c r="H1806" s="30" t="s">
        <v>3623</v>
      </c>
      <c r="I1806" s="62"/>
      <c r="J1806" s="37"/>
      <c r="K1806" s="38">
        <f>10.45+10.45+25.31</f>
        <v>46.209999999999994</v>
      </c>
      <c r="L1806" s="37"/>
      <c r="M1806" s="38">
        <v>0.7</v>
      </c>
      <c r="N1806" s="38"/>
      <c r="O1806" s="68">
        <f>ROUND(PRODUCT(J1806:N1806),2)</f>
        <v>32.35</v>
      </c>
    </row>
    <row r="1807" spans="1:17" ht="14.25" hidden="1" outlineLevel="2">
      <c r="E1807" s="59"/>
      <c r="F1807" s="60"/>
      <c r="G1807" s="34"/>
      <c r="H1807" s="30" t="s">
        <v>3624</v>
      </c>
      <c r="I1807" s="62"/>
      <c r="J1807" s="37"/>
      <c r="K1807" s="38">
        <f>17.56+17.56+13.98+13.98+5.75+5.75+8</f>
        <v>82.58</v>
      </c>
      <c r="L1807" s="37"/>
      <c r="M1807" s="38">
        <v>0.94</v>
      </c>
      <c r="N1807" s="38"/>
      <c r="O1807" s="68">
        <f t="shared" si="52"/>
        <v>77.63</v>
      </c>
    </row>
    <row r="1808" spans="1:17" ht="30" hidden="1" outlineLevel="1">
      <c r="A1808" s="2">
        <v>6</v>
      </c>
      <c r="B1808" s="2">
        <v>3</v>
      </c>
      <c r="C1808" s="2" t="e">
        <f>1+#REF!</f>
        <v>#REF!</v>
      </c>
      <c r="E1808" s="20" t="e">
        <f>CONCATENATE(A1808,".",B1808,".",C1808)</f>
        <v>#REF!</v>
      </c>
      <c r="F1808" s="21" t="s">
        <v>3625</v>
      </c>
      <c r="G1808" s="22" t="s">
        <v>139</v>
      </c>
      <c r="H1808" s="23" t="s">
        <v>140</v>
      </c>
      <c r="I1808" s="24" t="s">
        <v>45</v>
      </c>
      <c r="J1808" s="25"/>
      <c r="K1808" s="10"/>
      <c r="L1808" s="32"/>
      <c r="M1808" s="10"/>
      <c r="N1808" s="33"/>
      <c r="O1808" s="11">
        <f>SUM(O1809:O1810)</f>
        <v>12.760000000000002</v>
      </c>
      <c r="P1808" s="185"/>
      <c r="Q1808" s="185"/>
    </row>
    <row r="1809" spans="1:17" ht="14.25" hidden="1" outlineLevel="2">
      <c r="E1809" s="59"/>
      <c r="F1809" s="60"/>
      <c r="G1809" s="34"/>
      <c r="H1809" s="30"/>
      <c r="I1809" s="62"/>
      <c r="J1809" s="37"/>
      <c r="K1809" s="38">
        <v>1.32</v>
      </c>
      <c r="L1809" s="37"/>
      <c r="M1809" s="38">
        <v>1.8</v>
      </c>
      <c r="N1809" s="38">
        <v>5</v>
      </c>
      <c r="O1809" s="68">
        <f>ROUND(PRODUCT(J1809:N1809),2)</f>
        <v>11.88</v>
      </c>
    </row>
    <row r="1810" spans="1:17" ht="14.25" hidden="1" outlineLevel="2">
      <c r="E1810" s="59"/>
      <c r="F1810" s="60"/>
      <c r="G1810" s="34"/>
      <c r="H1810" s="30"/>
      <c r="I1810" s="62"/>
      <c r="J1810" s="37"/>
      <c r="K1810" s="38">
        <v>0.49</v>
      </c>
      <c r="L1810" s="37"/>
      <c r="M1810" s="38">
        <v>1.8</v>
      </c>
      <c r="N1810" s="38">
        <v>1</v>
      </c>
      <c r="O1810" s="68">
        <f>ROUND(PRODUCT(J1810:N1810),2)</f>
        <v>0.88</v>
      </c>
    </row>
    <row r="1811" spans="1:17" hidden="1" outlineLevel="1">
      <c r="A1811" s="2">
        <v>6</v>
      </c>
      <c r="B1811" s="2">
        <v>3</v>
      </c>
      <c r="C1811" s="2" t="e">
        <f>1+C1808</f>
        <v>#REF!</v>
      </c>
      <c r="E1811" s="20" t="e">
        <f>CONCATENATE(A1811,".",B1811,".",C1811)</f>
        <v>#REF!</v>
      </c>
      <c r="F1811" s="21" t="s">
        <v>3626</v>
      </c>
      <c r="G1811" s="113">
        <v>105022</v>
      </c>
      <c r="H1811" s="114" t="s">
        <v>143</v>
      </c>
      <c r="I1811" s="24" t="s">
        <v>144</v>
      </c>
      <c r="J1811" s="25"/>
      <c r="K1811" s="10"/>
      <c r="L1811" s="32"/>
      <c r="M1811" s="10"/>
      <c r="N1811" s="33"/>
      <c r="O1811" s="11">
        <f>SUM(O1812:O1815)</f>
        <v>21.34</v>
      </c>
      <c r="P1811" s="185"/>
      <c r="Q1811" s="185"/>
    </row>
    <row r="1812" spans="1:17" ht="14.25" hidden="1" outlineLevel="2">
      <c r="E1812" s="59"/>
      <c r="F1812" s="60"/>
      <c r="G1812" s="34"/>
      <c r="H1812" s="30" t="s">
        <v>3627</v>
      </c>
      <c r="I1812" s="62"/>
      <c r="J1812" s="37"/>
      <c r="K1812" s="38">
        <f>1+1*0.6</f>
        <v>1.6</v>
      </c>
      <c r="L1812" s="37"/>
      <c r="M1812" s="38"/>
      <c r="N1812" s="38">
        <v>3</v>
      </c>
      <c r="O1812" s="68">
        <f>ROUND(PRODUCT(J1812:N1812),2)</f>
        <v>4.8</v>
      </c>
    </row>
    <row r="1813" spans="1:17" ht="14.25" hidden="1" outlineLevel="2">
      <c r="E1813" s="59"/>
      <c r="F1813" s="60"/>
      <c r="G1813" s="34"/>
      <c r="H1813" s="30" t="s">
        <v>3628</v>
      </c>
      <c r="I1813" s="62"/>
      <c r="J1813" s="37"/>
      <c r="K1813" s="38">
        <f>0.9+0.9*0.6</f>
        <v>1.44</v>
      </c>
      <c r="L1813" s="37"/>
      <c r="M1813" s="38"/>
      <c r="N1813" s="38">
        <v>9</v>
      </c>
      <c r="O1813" s="68">
        <f>ROUND(PRODUCT(J1813:N1813),2)</f>
        <v>12.96</v>
      </c>
    </row>
    <row r="1814" spans="1:17" ht="14.25" hidden="1" outlineLevel="2">
      <c r="E1814" s="59"/>
      <c r="F1814" s="60"/>
      <c r="G1814" s="34"/>
      <c r="H1814" s="30" t="s">
        <v>3629</v>
      </c>
      <c r="I1814" s="62"/>
      <c r="J1814" s="37"/>
      <c r="K1814" s="38">
        <f>1.29+0.5</f>
        <v>1.79</v>
      </c>
      <c r="L1814" s="37"/>
      <c r="M1814" s="38"/>
      <c r="N1814" s="38">
        <v>1</v>
      </c>
      <c r="O1814" s="68">
        <f>ROUND(PRODUCT(J1814:N1814),2)</f>
        <v>1.79</v>
      </c>
    </row>
    <row r="1815" spans="1:17" ht="14.25" hidden="1" outlineLevel="2">
      <c r="E1815" s="59"/>
      <c r="F1815" s="60"/>
      <c r="G1815" s="34"/>
      <c r="H1815" s="30" t="s">
        <v>3630</v>
      </c>
      <c r="I1815" s="62"/>
      <c r="J1815" s="37"/>
      <c r="K1815" s="38">
        <f>1.29+0.5</f>
        <v>1.79</v>
      </c>
      <c r="L1815" s="37"/>
      <c r="M1815" s="38"/>
      <c r="N1815" s="38">
        <v>1</v>
      </c>
      <c r="O1815" s="68">
        <f>ROUND(PRODUCT(J1815:N1815),2)</f>
        <v>1.79</v>
      </c>
    </row>
    <row r="1816" spans="1:17" ht="30" hidden="1" outlineLevel="1">
      <c r="A1816" s="2">
        <v>6</v>
      </c>
      <c r="B1816" s="2">
        <v>3</v>
      </c>
      <c r="C1816" s="2" t="e">
        <f>1+C1811</f>
        <v>#REF!</v>
      </c>
      <c r="E1816" s="20" t="e">
        <f>CONCATENATE(A1816,".",B1816,".",C1816)</f>
        <v>#REF!</v>
      </c>
      <c r="F1816" s="21" t="s">
        <v>3631</v>
      </c>
      <c r="G1816" s="113">
        <v>105026</v>
      </c>
      <c r="H1816" s="114" t="s">
        <v>147</v>
      </c>
      <c r="I1816" s="115" t="s">
        <v>144</v>
      </c>
      <c r="J1816" s="25"/>
      <c r="K1816" s="10"/>
      <c r="L1816" s="32"/>
      <c r="M1816" s="10"/>
      <c r="N1816" s="33"/>
      <c r="O1816" s="11">
        <f>SUM(O1817:O1826)</f>
        <v>44.62</v>
      </c>
      <c r="P1816" s="185"/>
      <c r="Q1816" s="185"/>
    </row>
    <row r="1817" spans="1:17" ht="14.25" hidden="1" outlineLevel="2">
      <c r="E1817" s="59"/>
      <c r="F1817" s="60"/>
      <c r="G1817" s="34"/>
      <c r="H1817" s="30" t="s">
        <v>3632</v>
      </c>
      <c r="I1817" s="62"/>
      <c r="J1817" s="37"/>
      <c r="K1817" s="38">
        <f>1.6+0.5</f>
        <v>2.1</v>
      </c>
      <c r="L1817" s="37"/>
      <c r="M1817" s="38"/>
      <c r="N1817" s="38">
        <v>1</v>
      </c>
      <c r="O1817" s="68">
        <f t="shared" ref="O1817:O1826" si="53">ROUND(PRODUCT(J1817:N1817),2)</f>
        <v>2.1</v>
      </c>
    </row>
    <row r="1818" spans="1:17" ht="14.25" hidden="1" outlineLevel="2">
      <c r="E1818" s="59"/>
      <c r="F1818" s="60"/>
      <c r="G1818" s="34"/>
      <c r="H1818" s="30" t="s">
        <v>3633</v>
      </c>
      <c r="I1818" s="62"/>
      <c r="J1818" s="37"/>
      <c r="K1818" s="38">
        <f>1.6+0.5</f>
        <v>2.1</v>
      </c>
      <c r="L1818" s="37"/>
      <c r="M1818" s="38"/>
      <c r="N1818" s="38">
        <v>1</v>
      </c>
      <c r="O1818" s="68">
        <f t="shared" si="53"/>
        <v>2.1</v>
      </c>
    </row>
    <row r="1819" spans="1:17" ht="14.25" hidden="1" outlineLevel="2">
      <c r="E1819" s="59"/>
      <c r="F1819" s="60"/>
      <c r="G1819" s="34"/>
      <c r="H1819" s="30" t="s">
        <v>3634</v>
      </c>
      <c r="I1819" s="62"/>
      <c r="J1819" s="37"/>
      <c r="K1819" s="38">
        <f>1.92+0.5</f>
        <v>2.42</v>
      </c>
      <c r="L1819" s="37"/>
      <c r="M1819" s="38"/>
      <c r="N1819" s="38">
        <v>1</v>
      </c>
      <c r="O1819" s="68">
        <f t="shared" si="53"/>
        <v>2.42</v>
      </c>
    </row>
    <row r="1820" spans="1:17" ht="14.25" hidden="1" outlineLevel="2">
      <c r="E1820" s="59"/>
      <c r="F1820" s="60"/>
      <c r="G1820" s="34"/>
      <c r="H1820" s="30" t="s">
        <v>3635</v>
      </c>
      <c r="I1820" s="62"/>
      <c r="J1820" s="37"/>
      <c r="K1820" s="38">
        <f>1.92+0.5</f>
        <v>2.42</v>
      </c>
      <c r="L1820" s="37"/>
      <c r="M1820" s="38"/>
      <c r="N1820" s="38">
        <v>1</v>
      </c>
      <c r="O1820" s="68">
        <f t="shared" si="53"/>
        <v>2.42</v>
      </c>
    </row>
    <row r="1821" spans="1:17" ht="14.25" hidden="1" outlineLevel="2">
      <c r="E1821" s="59"/>
      <c r="F1821" s="60"/>
      <c r="G1821" s="34"/>
      <c r="H1821" s="30" t="s">
        <v>3636</v>
      </c>
      <c r="I1821" s="62"/>
      <c r="J1821" s="37"/>
      <c r="K1821" s="38">
        <f>3.81+0.5</f>
        <v>4.3100000000000005</v>
      </c>
      <c r="L1821" s="37"/>
      <c r="M1821" s="38"/>
      <c r="N1821" s="38">
        <v>1</v>
      </c>
      <c r="O1821" s="68">
        <f t="shared" si="53"/>
        <v>4.3099999999999996</v>
      </c>
    </row>
    <row r="1822" spans="1:17" ht="14.25" hidden="1" outlineLevel="2">
      <c r="E1822" s="59"/>
      <c r="F1822" s="60"/>
      <c r="G1822" s="34"/>
      <c r="H1822" s="30" t="s">
        <v>3637</v>
      </c>
      <c r="I1822" s="62"/>
      <c r="J1822" s="37"/>
      <c r="K1822" s="38">
        <f>4.44+0.5</f>
        <v>4.9400000000000004</v>
      </c>
      <c r="L1822" s="37"/>
      <c r="M1822" s="38"/>
      <c r="N1822" s="38">
        <v>1</v>
      </c>
      <c r="O1822" s="68">
        <f t="shared" si="53"/>
        <v>4.9400000000000004</v>
      </c>
    </row>
    <row r="1823" spans="1:17" ht="14.25" hidden="1" outlineLevel="2">
      <c r="E1823" s="59"/>
      <c r="F1823" s="60"/>
      <c r="G1823" s="34"/>
      <c r="H1823" s="30" t="s">
        <v>3638</v>
      </c>
      <c r="I1823" s="62"/>
      <c r="J1823" s="37"/>
      <c r="K1823" s="38">
        <f>3.15+0.5</f>
        <v>3.65</v>
      </c>
      <c r="L1823" s="37"/>
      <c r="M1823" s="38"/>
      <c r="N1823" s="38">
        <v>2</v>
      </c>
      <c r="O1823" s="68">
        <f t="shared" si="53"/>
        <v>7.3</v>
      </c>
    </row>
    <row r="1824" spans="1:17" ht="14.25" hidden="1" outlineLevel="2">
      <c r="E1824" s="59"/>
      <c r="F1824" s="60"/>
      <c r="G1824" s="34"/>
      <c r="H1824" s="30" t="s">
        <v>3639</v>
      </c>
      <c r="I1824" s="62"/>
      <c r="J1824" s="37"/>
      <c r="K1824" s="38">
        <f>2.55+0.5</f>
        <v>3.05</v>
      </c>
      <c r="L1824" s="37"/>
      <c r="M1824" s="38"/>
      <c r="N1824" s="38">
        <v>3</v>
      </c>
      <c r="O1824" s="68">
        <f t="shared" si="53"/>
        <v>9.15</v>
      </c>
    </row>
    <row r="1825" spans="1:17" ht="14.25" hidden="1" outlineLevel="2">
      <c r="E1825" s="59"/>
      <c r="F1825" s="60"/>
      <c r="G1825" s="34"/>
      <c r="H1825" s="30" t="s">
        <v>3640</v>
      </c>
      <c r="I1825" s="62"/>
      <c r="J1825" s="37"/>
      <c r="K1825" s="38">
        <f>4.44+0.5</f>
        <v>4.9400000000000004</v>
      </c>
      <c r="L1825" s="37"/>
      <c r="M1825" s="38"/>
      <c r="N1825" s="38">
        <v>1</v>
      </c>
      <c r="O1825" s="68">
        <f t="shared" si="53"/>
        <v>4.9400000000000004</v>
      </c>
    </row>
    <row r="1826" spans="1:17" ht="14.25" hidden="1" outlineLevel="2">
      <c r="E1826" s="59"/>
      <c r="F1826" s="60"/>
      <c r="G1826" s="34"/>
      <c r="H1826" s="30" t="s">
        <v>3641</v>
      </c>
      <c r="I1826" s="62"/>
      <c r="J1826" s="37"/>
      <c r="K1826" s="38">
        <f>4.44+0.5</f>
        <v>4.9400000000000004</v>
      </c>
      <c r="L1826" s="37"/>
      <c r="M1826" s="38"/>
      <c r="N1826" s="38">
        <v>1</v>
      </c>
      <c r="O1826" s="68">
        <f t="shared" si="53"/>
        <v>4.9400000000000004</v>
      </c>
    </row>
    <row r="1827" spans="1:17" hidden="1" outlineLevel="1">
      <c r="A1827" s="2">
        <v>6</v>
      </c>
      <c r="B1827" s="2">
        <v>3</v>
      </c>
      <c r="C1827" s="2" t="e">
        <f>1+C1816</f>
        <v>#REF!</v>
      </c>
      <c r="E1827" s="20" t="e">
        <f>CONCATENATE(A1827,".",B1827,".",C1827)</f>
        <v>#REF!</v>
      </c>
      <c r="F1827" s="120" t="s">
        <v>3642</v>
      </c>
      <c r="G1827" s="113">
        <v>105028</v>
      </c>
      <c r="H1827" s="114" t="s">
        <v>150</v>
      </c>
      <c r="I1827" s="115" t="s">
        <v>144</v>
      </c>
      <c r="J1827" s="25"/>
      <c r="K1827" s="10"/>
      <c r="L1827" s="32"/>
      <c r="M1827" s="10"/>
      <c r="N1827" s="33"/>
      <c r="O1827" s="11">
        <f>SUM(O1828:O1829)</f>
        <v>3.58</v>
      </c>
      <c r="P1827" s="185"/>
      <c r="Q1827" s="185"/>
    </row>
    <row r="1828" spans="1:17" ht="14.25" hidden="1" outlineLevel="2">
      <c r="E1828" s="59"/>
      <c r="F1828" s="60"/>
      <c r="G1828" s="34"/>
      <c r="H1828" s="30" t="s">
        <v>3629</v>
      </c>
      <c r="I1828" s="62"/>
      <c r="J1828" s="37"/>
      <c r="K1828" s="38">
        <f>1.29+0.5</f>
        <v>1.79</v>
      </c>
      <c r="L1828" s="37"/>
      <c r="M1828" s="38"/>
      <c r="N1828" s="38">
        <v>1</v>
      </c>
      <c r="O1828" s="68">
        <f>ROUND(PRODUCT(J1828:N1828),2)</f>
        <v>1.79</v>
      </c>
    </row>
    <row r="1829" spans="1:17" ht="14.25" hidden="1" outlineLevel="2">
      <c r="E1829" s="59"/>
      <c r="F1829" s="60"/>
      <c r="G1829" s="34"/>
      <c r="H1829" s="30" t="s">
        <v>3630</v>
      </c>
      <c r="I1829" s="62"/>
      <c r="J1829" s="37"/>
      <c r="K1829" s="38">
        <f>1.29+0.5</f>
        <v>1.79</v>
      </c>
      <c r="L1829" s="37"/>
      <c r="M1829" s="38"/>
      <c r="N1829" s="38">
        <v>1</v>
      </c>
      <c r="O1829" s="68">
        <f>ROUND(PRODUCT(J1829:N1829),2)</f>
        <v>1.79</v>
      </c>
    </row>
    <row r="1830" spans="1:17" hidden="1" outlineLevel="1">
      <c r="A1830" s="2">
        <v>6</v>
      </c>
      <c r="B1830" s="2">
        <v>3</v>
      </c>
      <c r="C1830" s="2" t="e">
        <f>1+C1827</f>
        <v>#REF!</v>
      </c>
      <c r="E1830" s="20" t="e">
        <f>CONCATENATE(A1830,".",B1830,".",C1830)</f>
        <v>#REF!</v>
      </c>
      <c r="F1830" s="120" t="s">
        <v>3643</v>
      </c>
      <c r="G1830" s="113">
        <v>105027</v>
      </c>
      <c r="H1830" s="114" t="s">
        <v>153</v>
      </c>
      <c r="I1830" s="115" t="s">
        <v>144</v>
      </c>
      <c r="J1830" s="25"/>
      <c r="K1830" s="10"/>
      <c r="L1830" s="32"/>
      <c r="M1830" s="10"/>
      <c r="N1830" s="33"/>
      <c r="O1830" s="11">
        <f>SUM(O1831:O1838)</f>
        <v>40.419999999999995</v>
      </c>
      <c r="P1830" s="185"/>
      <c r="Q1830" s="185"/>
    </row>
    <row r="1831" spans="1:17" ht="14.25" hidden="1" outlineLevel="2">
      <c r="E1831" s="59"/>
      <c r="F1831" s="60"/>
      <c r="G1831" s="34"/>
      <c r="H1831" s="30" t="s">
        <v>3634</v>
      </c>
      <c r="I1831" s="62"/>
      <c r="J1831" s="37"/>
      <c r="K1831" s="38">
        <f>1.92+0.5</f>
        <v>2.42</v>
      </c>
      <c r="L1831" s="37"/>
      <c r="M1831" s="38"/>
      <c r="N1831" s="38">
        <v>1</v>
      </c>
      <c r="O1831" s="68">
        <f t="shared" ref="O1831:O1838" si="54">ROUND(PRODUCT(J1831:N1831),2)</f>
        <v>2.42</v>
      </c>
    </row>
    <row r="1832" spans="1:17" ht="14.25" hidden="1" outlineLevel="2">
      <c r="E1832" s="59"/>
      <c r="F1832" s="60"/>
      <c r="G1832" s="34"/>
      <c r="H1832" s="30" t="s">
        <v>3635</v>
      </c>
      <c r="I1832" s="62"/>
      <c r="J1832" s="37"/>
      <c r="K1832" s="38">
        <f>1.92+0.5</f>
        <v>2.42</v>
      </c>
      <c r="L1832" s="37"/>
      <c r="M1832" s="38"/>
      <c r="N1832" s="38">
        <v>1</v>
      </c>
      <c r="O1832" s="68">
        <f t="shared" si="54"/>
        <v>2.42</v>
      </c>
    </row>
    <row r="1833" spans="1:17" ht="14.25" hidden="1" outlineLevel="2">
      <c r="E1833" s="59"/>
      <c r="F1833" s="60"/>
      <c r="G1833" s="34"/>
      <c r="H1833" s="30" t="s">
        <v>3636</v>
      </c>
      <c r="I1833" s="62"/>
      <c r="J1833" s="37"/>
      <c r="K1833" s="38">
        <f>3.81+0.5</f>
        <v>4.3100000000000005</v>
      </c>
      <c r="L1833" s="37"/>
      <c r="M1833" s="38"/>
      <c r="N1833" s="38">
        <v>1</v>
      </c>
      <c r="O1833" s="68">
        <f t="shared" si="54"/>
        <v>4.3099999999999996</v>
      </c>
    </row>
    <row r="1834" spans="1:17" ht="14.25" hidden="1" outlineLevel="2">
      <c r="E1834" s="59"/>
      <c r="F1834" s="60"/>
      <c r="G1834" s="34"/>
      <c r="H1834" s="30" t="s">
        <v>3637</v>
      </c>
      <c r="I1834" s="62"/>
      <c r="J1834" s="37"/>
      <c r="K1834" s="38">
        <f>4.44+0.5</f>
        <v>4.9400000000000004</v>
      </c>
      <c r="L1834" s="37"/>
      <c r="M1834" s="38"/>
      <c r="N1834" s="38">
        <v>1</v>
      </c>
      <c r="O1834" s="68">
        <f t="shared" si="54"/>
        <v>4.9400000000000004</v>
      </c>
    </row>
    <row r="1835" spans="1:17" ht="14.25" hidden="1" outlineLevel="2">
      <c r="E1835" s="59"/>
      <c r="F1835" s="60"/>
      <c r="G1835" s="34"/>
      <c r="H1835" s="30" t="s">
        <v>3638</v>
      </c>
      <c r="I1835" s="62"/>
      <c r="J1835" s="37"/>
      <c r="K1835" s="38">
        <f>3.15+0.5</f>
        <v>3.65</v>
      </c>
      <c r="L1835" s="37"/>
      <c r="M1835" s="38"/>
      <c r="N1835" s="38">
        <v>2</v>
      </c>
      <c r="O1835" s="68">
        <f t="shared" si="54"/>
        <v>7.3</v>
      </c>
    </row>
    <row r="1836" spans="1:17" ht="14.25" hidden="1" outlineLevel="2">
      <c r="E1836" s="59"/>
      <c r="F1836" s="60"/>
      <c r="G1836" s="34"/>
      <c r="H1836" s="30" t="s">
        <v>3639</v>
      </c>
      <c r="I1836" s="62"/>
      <c r="J1836" s="37"/>
      <c r="K1836" s="38">
        <f>2.55+0.5</f>
        <v>3.05</v>
      </c>
      <c r="L1836" s="37"/>
      <c r="M1836" s="38"/>
      <c r="N1836" s="38">
        <v>3</v>
      </c>
      <c r="O1836" s="68">
        <f t="shared" si="54"/>
        <v>9.15</v>
      </c>
    </row>
    <row r="1837" spans="1:17" ht="14.25" hidden="1" outlineLevel="2">
      <c r="E1837" s="59"/>
      <c r="F1837" s="60"/>
      <c r="G1837" s="34"/>
      <c r="H1837" s="30" t="s">
        <v>3640</v>
      </c>
      <c r="I1837" s="62"/>
      <c r="J1837" s="37"/>
      <c r="K1837" s="38">
        <f>4.44+0.5</f>
        <v>4.9400000000000004</v>
      </c>
      <c r="L1837" s="37"/>
      <c r="M1837" s="38"/>
      <c r="N1837" s="38">
        <v>1</v>
      </c>
      <c r="O1837" s="68">
        <f t="shared" si="54"/>
        <v>4.9400000000000004</v>
      </c>
    </row>
    <row r="1838" spans="1:17" ht="14.25" hidden="1" outlineLevel="2">
      <c r="E1838" s="59"/>
      <c r="F1838" s="60"/>
      <c r="G1838" s="34"/>
      <c r="H1838" s="30" t="s">
        <v>3641</v>
      </c>
      <c r="I1838" s="62"/>
      <c r="J1838" s="37"/>
      <c r="K1838" s="38">
        <f>4.44+0.5</f>
        <v>4.9400000000000004</v>
      </c>
      <c r="L1838" s="37"/>
      <c r="M1838" s="38"/>
      <c r="N1838" s="38">
        <v>1</v>
      </c>
      <c r="O1838" s="68">
        <f t="shared" si="54"/>
        <v>4.9400000000000004</v>
      </c>
    </row>
    <row r="1839" spans="1:17" collapsed="1">
      <c r="E1839" s="44" t="s">
        <v>3644</v>
      </c>
      <c r="F1839" s="45" t="s">
        <v>3644</v>
      </c>
      <c r="G1839" s="13"/>
      <c r="H1839" s="14" t="s">
        <v>158</v>
      </c>
      <c r="I1839" s="15"/>
      <c r="J1839" s="16"/>
      <c r="K1839" s="17"/>
      <c r="L1839" s="16"/>
      <c r="M1839" s="17"/>
      <c r="N1839" s="18"/>
      <c r="O1839" s="19"/>
      <c r="P1839" s="185"/>
      <c r="Q1839" s="185"/>
    </row>
    <row r="1840" spans="1:17" ht="30" hidden="1" outlineLevel="1">
      <c r="A1840" s="2">
        <v>6</v>
      </c>
      <c r="B1840" s="2">
        <v>4</v>
      </c>
      <c r="C1840" s="2">
        <v>1</v>
      </c>
      <c r="E1840" s="20" t="str">
        <f>CONCATENATE(A1840,".",B1840,".",C1840)</f>
        <v>6.4.1</v>
      </c>
      <c r="F1840" s="120" t="s">
        <v>3645</v>
      </c>
      <c r="G1840" s="113">
        <v>94227</v>
      </c>
      <c r="H1840" s="114" t="s">
        <v>164</v>
      </c>
      <c r="I1840" s="115" t="s">
        <v>144</v>
      </c>
      <c r="J1840" s="121"/>
      <c r="K1840" s="117"/>
      <c r="L1840" s="121"/>
      <c r="M1840" s="117"/>
      <c r="N1840" s="82"/>
      <c r="O1840" s="122">
        <f>SUM(O1841)</f>
        <v>49.78</v>
      </c>
      <c r="P1840" s="185"/>
      <c r="Q1840" s="185"/>
    </row>
    <row r="1841" spans="1:17" hidden="1" outlineLevel="2">
      <c r="E1841" s="59"/>
      <c r="F1841" s="60"/>
      <c r="G1841" s="34"/>
      <c r="H1841" s="30"/>
      <c r="I1841" s="35"/>
      <c r="J1841" s="32"/>
      <c r="K1841" s="33">
        <f>24.89*2</f>
        <v>49.78</v>
      </c>
      <c r="L1841" s="32"/>
      <c r="M1841" s="10"/>
      <c r="N1841" s="33"/>
      <c r="O1841" s="58">
        <f>ROUND(PRODUCT(J1841:N1841),2)</f>
        <v>49.78</v>
      </c>
      <c r="P1841" s="185"/>
      <c r="Q1841" s="185"/>
    </row>
    <row r="1842" spans="1:17" ht="30" hidden="1" outlineLevel="1">
      <c r="A1842" s="2">
        <v>6</v>
      </c>
      <c r="B1842" s="2">
        <v>4</v>
      </c>
      <c r="C1842" s="2">
        <f>1+C1840</f>
        <v>2</v>
      </c>
      <c r="E1842" s="20" t="str">
        <f>CONCATENATE(A1842,".",B1842,".",C1842)</f>
        <v>6.4.2</v>
      </c>
      <c r="F1842" s="21" t="s">
        <v>3646</v>
      </c>
      <c r="G1842" s="22" t="s">
        <v>169</v>
      </c>
      <c r="H1842" s="23" t="s">
        <v>170</v>
      </c>
      <c r="I1842" s="24" t="s">
        <v>144</v>
      </c>
      <c r="J1842" s="25"/>
      <c r="K1842" s="10"/>
      <c r="L1842" s="32"/>
      <c r="M1842" s="10"/>
      <c r="N1842" s="33"/>
      <c r="O1842" s="11">
        <f>SUM(O1843:O1843)</f>
        <v>100.31</v>
      </c>
      <c r="P1842" s="185"/>
      <c r="Q1842" s="185"/>
    </row>
    <row r="1843" spans="1:17" hidden="1" outlineLevel="2">
      <c r="E1843" s="59"/>
      <c r="F1843" s="60"/>
      <c r="G1843" s="34"/>
      <c r="H1843" s="30"/>
      <c r="I1843" s="35"/>
      <c r="J1843" s="32"/>
      <c r="K1843" s="33">
        <v>100.31</v>
      </c>
      <c r="L1843" s="32"/>
      <c r="M1843" s="10"/>
      <c r="N1843" s="33"/>
      <c r="O1843" s="58">
        <f>ROUND(PRODUCT(J1843:N1843),2)</f>
        <v>100.31</v>
      </c>
      <c r="P1843" s="185"/>
      <c r="Q1843" s="185"/>
    </row>
    <row r="1844" spans="1:17" hidden="1" outlineLevel="1">
      <c r="A1844" s="2">
        <v>6</v>
      </c>
      <c r="B1844" s="2">
        <v>4</v>
      </c>
      <c r="C1844" s="2">
        <f>1+C1842</f>
        <v>3</v>
      </c>
      <c r="E1844" s="20" t="str">
        <f>CONCATENATE(A1844,".",B1844,".",C1844)</f>
        <v>6.4.3</v>
      </c>
      <c r="F1844" s="21" t="s">
        <v>3647</v>
      </c>
      <c r="G1844" s="113">
        <v>2236</v>
      </c>
      <c r="H1844" s="114" t="s">
        <v>173</v>
      </c>
      <c r="I1844" s="115" t="s">
        <v>144</v>
      </c>
      <c r="J1844" s="25"/>
      <c r="K1844" s="10"/>
      <c r="L1844" s="32"/>
      <c r="M1844" s="10"/>
      <c r="N1844" s="33"/>
      <c r="O1844" s="11">
        <f>SUM(O1845:O1845)</f>
        <v>25.31</v>
      </c>
      <c r="P1844" s="185"/>
      <c r="Q1844" s="185"/>
    </row>
    <row r="1845" spans="1:17" hidden="1" outlineLevel="2">
      <c r="E1845" s="59"/>
      <c r="F1845" s="60"/>
      <c r="G1845" s="34"/>
      <c r="H1845" s="30"/>
      <c r="I1845" s="35"/>
      <c r="J1845" s="32"/>
      <c r="K1845" s="33">
        <v>25.31</v>
      </c>
      <c r="L1845" s="32"/>
      <c r="M1845" s="10"/>
      <c r="N1845" s="33"/>
      <c r="O1845" s="58">
        <f>ROUND(PRODUCT(J1845:N1845),2)</f>
        <v>25.31</v>
      </c>
      <c r="P1845" s="185"/>
      <c r="Q1845" s="185"/>
    </row>
    <row r="1846" spans="1:17" ht="45" hidden="1" outlineLevel="1">
      <c r="A1846" s="2">
        <v>6</v>
      </c>
      <c r="B1846" s="2">
        <v>4</v>
      </c>
      <c r="C1846" s="2">
        <f>1+C1844</f>
        <v>4</v>
      </c>
      <c r="E1846" s="20" t="str">
        <f>CONCATENATE(A1846,".",B1846,".",C1846)</f>
        <v>6.4.4</v>
      </c>
      <c r="F1846" s="21" t="s">
        <v>3648</v>
      </c>
      <c r="G1846" s="113">
        <v>92580</v>
      </c>
      <c r="H1846" s="114" t="s">
        <v>179</v>
      </c>
      <c r="I1846" s="115" t="s">
        <v>45</v>
      </c>
      <c r="J1846" s="25"/>
      <c r="K1846" s="10"/>
      <c r="L1846" s="32"/>
      <c r="M1846" s="10"/>
      <c r="N1846" s="33"/>
      <c r="O1846" s="11">
        <f>SUM(O1847:O1847)</f>
        <v>239.94</v>
      </c>
      <c r="P1846" s="185"/>
      <c r="Q1846" s="185"/>
    </row>
    <row r="1847" spans="1:17" hidden="1" outlineLevel="2">
      <c r="E1847" s="59"/>
      <c r="F1847" s="60"/>
      <c r="G1847" s="34"/>
      <c r="H1847" s="30"/>
      <c r="I1847" s="35"/>
      <c r="J1847" s="32"/>
      <c r="K1847" s="33">
        <v>239.94</v>
      </c>
      <c r="L1847" s="41"/>
      <c r="M1847" s="10"/>
      <c r="N1847" s="33"/>
      <c r="O1847" s="58">
        <f>ROUND(PRODUCT(J1847:N1847),2)</f>
        <v>239.94</v>
      </c>
      <c r="P1847" s="185"/>
      <c r="Q1847" s="185"/>
    </row>
    <row r="1848" spans="1:17" ht="30" hidden="1" outlineLevel="1">
      <c r="A1848" s="2">
        <v>6</v>
      </c>
      <c r="B1848" s="2">
        <v>4</v>
      </c>
      <c r="C1848" s="2">
        <f>1+C1846</f>
        <v>5</v>
      </c>
      <c r="E1848" s="20" t="str">
        <f>CONCATENATE(A1848,".",B1848,".",C1848)</f>
        <v>6.4.5</v>
      </c>
      <c r="F1848" s="21" t="s">
        <v>3649</v>
      </c>
      <c r="G1848" s="113">
        <v>94213</v>
      </c>
      <c r="H1848" s="114" t="s">
        <v>185</v>
      </c>
      <c r="I1848" s="24" t="s">
        <v>276</v>
      </c>
      <c r="J1848" s="25"/>
      <c r="K1848" s="10"/>
      <c r="L1848" s="32"/>
      <c r="M1848" s="10"/>
      <c r="N1848" s="33"/>
      <c r="O1848" s="11">
        <f>SUM(O1849:O1849)</f>
        <v>239.94</v>
      </c>
      <c r="P1848" s="185"/>
      <c r="Q1848" s="185"/>
    </row>
    <row r="1849" spans="1:17" hidden="1" outlineLevel="2">
      <c r="E1849" s="59"/>
      <c r="F1849" s="60"/>
      <c r="G1849" s="34"/>
      <c r="H1849" s="30"/>
      <c r="I1849" s="35"/>
      <c r="J1849" s="32"/>
      <c r="K1849" s="33">
        <v>239.94</v>
      </c>
      <c r="L1849" s="41"/>
      <c r="M1849" s="10"/>
      <c r="N1849" s="33"/>
      <c r="O1849" s="58">
        <f>ROUND(PRODUCT(J1849:N1849),2)</f>
        <v>239.94</v>
      </c>
      <c r="P1849" s="185"/>
      <c r="Q1849" s="185"/>
    </row>
    <row r="1850" spans="1:17" ht="30" hidden="1" outlineLevel="1">
      <c r="A1850" s="2">
        <v>6</v>
      </c>
      <c r="B1850" s="2">
        <v>4</v>
      </c>
      <c r="C1850" s="2">
        <f>1+C1848</f>
        <v>6</v>
      </c>
      <c r="E1850" s="20" t="str">
        <f>CONCATENATE(A1850,".",B1850,".",C1850)</f>
        <v>6.4.6</v>
      </c>
      <c r="F1850" s="21" t="s">
        <v>3650</v>
      </c>
      <c r="G1850" s="22">
        <v>100327</v>
      </c>
      <c r="H1850" s="23" t="s">
        <v>188</v>
      </c>
      <c r="I1850" s="24" t="s">
        <v>144</v>
      </c>
      <c r="J1850" s="25"/>
      <c r="K1850" s="10"/>
      <c r="L1850" s="32"/>
      <c r="M1850" s="10"/>
      <c r="N1850" s="33"/>
      <c r="O1850" s="11">
        <f>SUM(O1851:O1851)</f>
        <v>19.28</v>
      </c>
      <c r="P1850" s="185"/>
      <c r="Q1850" s="185"/>
    </row>
    <row r="1851" spans="1:17" hidden="1" outlineLevel="2">
      <c r="E1851" s="59"/>
      <c r="F1851" s="60"/>
      <c r="G1851" s="34"/>
      <c r="H1851" s="30"/>
      <c r="I1851" s="35"/>
      <c r="J1851" s="32"/>
      <c r="K1851" s="33">
        <v>9.64</v>
      </c>
      <c r="L1851" s="32"/>
      <c r="M1851" s="10"/>
      <c r="N1851" s="33">
        <v>2</v>
      </c>
      <c r="O1851" s="58">
        <f>ROUND(PRODUCT(J1851:N1851),2)</f>
        <v>19.28</v>
      </c>
      <c r="P1851" s="185"/>
      <c r="Q1851" s="185"/>
    </row>
    <row r="1852" spans="1:17" collapsed="1">
      <c r="A1852" s="2">
        <v>6</v>
      </c>
      <c r="B1852" s="2">
        <v>5</v>
      </c>
      <c r="E1852" s="42" t="str">
        <f>CONCATENATE(A1852,".",B1852)</f>
        <v>6.5</v>
      </c>
      <c r="F1852" s="45" t="s">
        <v>3651</v>
      </c>
      <c r="G1852" s="13"/>
      <c r="H1852" s="14" t="s">
        <v>190</v>
      </c>
      <c r="I1852" s="13"/>
      <c r="J1852" s="16"/>
      <c r="K1852" s="17"/>
      <c r="L1852" s="16"/>
      <c r="M1852" s="17"/>
      <c r="N1852" s="18"/>
      <c r="O1852" s="61"/>
      <c r="P1852" s="185"/>
      <c r="Q1852" s="185"/>
    </row>
    <row r="1853" spans="1:17" ht="30" hidden="1" outlineLevel="1">
      <c r="A1853" s="2">
        <v>6</v>
      </c>
      <c r="B1853" s="2">
        <v>5</v>
      </c>
      <c r="C1853" s="2">
        <v>1</v>
      </c>
      <c r="E1853" s="20" t="str">
        <f>CONCATENATE(A1853,".",B1853,".",C1853)</f>
        <v>6.5.1</v>
      </c>
      <c r="F1853" s="21" t="s">
        <v>3652</v>
      </c>
      <c r="G1853" s="113">
        <v>98562</v>
      </c>
      <c r="H1853" s="114" t="s">
        <v>193</v>
      </c>
      <c r="I1853" s="24" t="s">
        <v>276</v>
      </c>
      <c r="J1853" s="32"/>
      <c r="K1853" s="10"/>
      <c r="L1853" s="32"/>
      <c r="M1853" s="10"/>
      <c r="N1853" s="10"/>
      <c r="O1853" s="11">
        <f>SUM(O1854:O1868)</f>
        <v>912.18</v>
      </c>
      <c r="P1853" s="28"/>
      <c r="Q1853" s="185"/>
    </row>
    <row r="1854" spans="1:17" hidden="1" outlineLevel="1">
      <c r="E1854" s="20"/>
      <c r="F1854" s="21"/>
      <c r="G1854" s="22"/>
      <c r="H1854" s="30" t="s">
        <v>3653</v>
      </c>
      <c r="I1854" s="24"/>
      <c r="J1854" s="41"/>
      <c r="K1854" s="33"/>
      <c r="L1854" s="41"/>
      <c r="M1854" s="33"/>
      <c r="N1854" s="33">
        <v>608</v>
      </c>
      <c r="O1854" s="58">
        <f>ROUND(PRODUCT(J1854:N1854),2)</f>
        <v>608</v>
      </c>
      <c r="P1854" s="28"/>
      <c r="Q1854" s="185"/>
    </row>
    <row r="1855" spans="1:17" hidden="1" outlineLevel="2">
      <c r="E1855" s="20"/>
      <c r="F1855" s="21"/>
      <c r="G1855" s="22"/>
      <c r="H1855" s="30" t="s">
        <v>3654</v>
      </c>
      <c r="I1855" s="24"/>
      <c r="J1855" s="41"/>
      <c r="K1855" s="33"/>
      <c r="L1855" s="41"/>
      <c r="M1855" s="33"/>
      <c r="N1855" s="33">
        <v>8.5299999999999994</v>
      </c>
      <c r="O1855" s="58">
        <f t="shared" ref="O1855:O1868" si="55">ROUND(PRODUCT(J1855:N1855),2)</f>
        <v>8.5299999999999994</v>
      </c>
      <c r="P1855" s="185"/>
      <c r="Q1855" s="185"/>
    </row>
    <row r="1856" spans="1:17" hidden="1" outlineLevel="2">
      <c r="E1856" s="59"/>
      <c r="F1856" s="60"/>
      <c r="G1856" s="34"/>
      <c r="H1856" s="30" t="s">
        <v>3609</v>
      </c>
      <c r="I1856" s="35"/>
      <c r="J1856" s="41"/>
      <c r="K1856" s="33"/>
      <c r="L1856" s="41"/>
      <c r="M1856" s="33"/>
      <c r="N1856" s="33">
        <f>10.39+4.2</f>
        <v>14.59</v>
      </c>
      <c r="O1856" s="58">
        <f t="shared" si="55"/>
        <v>14.59</v>
      </c>
      <c r="P1856" s="185"/>
      <c r="Q1856" s="185"/>
    </row>
    <row r="1857" spans="1:17" hidden="1" outlineLevel="2">
      <c r="E1857" s="59"/>
      <c r="F1857" s="60"/>
      <c r="G1857" s="34"/>
      <c r="H1857" s="30" t="s">
        <v>3610</v>
      </c>
      <c r="I1857" s="35"/>
      <c r="J1857" s="41"/>
      <c r="K1857" s="33"/>
      <c r="L1857" s="41"/>
      <c r="M1857" s="33"/>
      <c r="N1857" s="33">
        <v>59.37</v>
      </c>
      <c r="O1857" s="58">
        <f t="shared" si="55"/>
        <v>59.37</v>
      </c>
      <c r="P1857" s="185"/>
      <c r="Q1857" s="185"/>
    </row>
    <row r="1858" spans="1:17" hidden="1" outlineLevel="2">
      <c r="E1858" s="59"/>
      <c r="F1858" s="60"/>
      <c r="G1858" s="34"/>
      <c r="H1858" s="30" t="s">
        <v>3611</v>
      </c>
      <c r="I1858" s="35"/>
      <c r="J1858" s="41"/>
      <c r="K1858" s="33"/>
      <c r="L1858" s="41"/>
      <c r="M1858" s="33"/>
      <c r="N1858" s="33">
        <v>13.14</v>
      </c>
      <c r="O1858" s="58">
        <f t="shared" si="55"/>
        <v>13.14</v>
      </c>
      <c r="P1858" s="185"/>
      <c r="Q1858" s="185"/>
    </row>
    <row r="1859" spans="1:17" hidden="1" outlineLevel="2">
      <c r="E1859" s="59"/>
      <c r="F1859" s="60"/>
      <c r="G1859" s="34"/>
      <c r="H1859" s="30" t="s">
        <v>3612</v>
      </c>
      <c r="I1859" s="35"/>
      <c r="J1859" s="41"/>
      <c r="K1859" s="33"/>
      <c r="L1859" s="41"/>
      <c r="M1859" s="33"/>
      <c r="N1859" s="33">
        <v>24.54</v>
      </c>
      <c r="O1859" s="58">
        <f t="shared" si="55"/>
        <v>24.54</v>
      </c>
      <c r="P1859" s="185"/>
      <c r="Q1859" s="185"/>
    </row>
    <row r="1860" spans="1:17" hidden="1" outlineLevel="2">
      <c r="E1860" s="59"/>
      <c r="F1860" s="60"/>
      <c r="G1860" s="34"/>
      <c r="H1860" s="30" t="s">
        <v>3613</v>
      </c>
      <c r="I1860" s="35"/>
      <c r="J1860" s="41"/>
      <c r="K1860" s="33"/>
      <c r="L1860" s="41"/>
      <c r="M1860" s="33"/>
      <c r="N1860" s="33">
        <v>21.15</v>
      </c>
      <c r="O1860" s="58">
        <f t="shared" si="55"/>
        <v>21.15</v>
      </c>
      <c r="P1860" s="185"/>
      <c r="Q1860" s="185"/>
    </row>
    <row r="1861" spans="1:17" hidden="1" outlineLevel="2">
      <c r="E1861" s="59"/>
      <c r="F1861" s="60"/>
      <c r="G1861" s="34"/>
      <c r="H1861" s="30" t="s">
        <v>3614</v>
      </c>
      <c r="I1861" s="35"/>
      <c r="J1861" s="41"/>
      <c r="K1861" s="33"/>
      <c r="L1861" s="41"/>
      <c r="M1861" s="33"/>
      <c r="N1861" s="33">
        <f>2.17*2</f>
        <v>4.34</v>
      </c>
      <c r="O1861" s="58">
        <f t="shared" si="55"/>
        <v>4.34</v>
      </c>
      <c r="P1861" s="185"/>
      <c r="Q1861" s="185"/>
    </row>
    <row r="1862" spans="1:17" hidden="1" outlineLevel="2">
      <c r="E1862" s="59"/>
      <c r="F1862" s="60"/>
      <c r="G1862" s="34"/>
      <c r="H1862" s="30" t="s">
        <v>3615</v>
      </c>
      <c r="I1862" s="35"/>
      <c r="J1862" s="41"/>
      <c r="K1862" s="33"/>
      <c r="L1862" s="41"/>
      <c r="M1862" s="33"/>
      <c r="N1862" s="33">
        <v>7.99</v>
      </c>
      <c r="O1862" s="58">
        <f t="shared" si="55"/>
        <v>7.99</v>
      </c>
      <c r="P1862" s="185"/>
      <c r="Q1862" s="185"/>
    </row>
    <row r="1863" spans="1:17" hidden="1" outlineLevel="2">
      <c r="E1863" s="59"/>
      <c r="F1863" s="60"/>
      <c r="G1863" s="34"/>
      <c r="H1863" s="30" t="s">
        <v>3616</v>
      </c>
      <c r="I1863" s="35"/>
      <c r="J1863" s="41"/>
      <c r="K1863" s="33"/>
      <c r="L1863" s="41"/>
      <c r="M1863" s="33"/>
      <c r="N1863" s="33">
        <f>8.18+3.13</f>
        <v>11.309999999999999</v>
      </c>
      <c r="O1863" s="58">
        <f t="shared" si="55"/>
        <v>11.31</v>
      </c>
      <c r="P1863" s="185"/>
      <c r="Q1863" s="185"/>
    </row>
    <row r="1864" spans="1:17" hidden="1" outlineLevel="2">
      <c r="E1864" s="59"/>
      <c r="F1864" s="60"/>
      <c r="G1864" s="34"/>
      <c r="H1864" s="30" t="s">
        <v>3617</v>
      </c>
      <c r="I1864" s="35"/>
      <c r="J1864" s="41"/>
      <c r="K1864" s="33"/>
      <c r="L1864" s="41"/>
      <c r="M1864" s="33"/>
      <c r="N1864" s="33">
        <v>13.77</v>
      </c>
      <c r="O1864" s="58">
        <f t="shared" si="55"/>
        <v>13.77</v>
      </c>
      <c r="P1864" s="185"/>
      <c r="Q1864" s="185"/>
    </row>
    <row r="1865" spans="1:17" hidden="1" outlineLevel="2">
      <c r="E1865" s="59"/>
      <c r="F1865" s="60"/>
      <c r="G1865" s="34"/>
      <c r="H1865" s="30" t="s">
        <v>3655</v>
      </c>
      <c r="I1865" s="35"/>
      <c r="J1865" s="41"/>
      <c r="K1865" s="33"/>
      <c r="L1865" s="41"/>
      <c r="M1865" s="33"/>
      <c r="N1865" s="33">
        <v>30.5</v>
      </c>
      <c r="O1865" s="58">
        <f t="shared" si="55"/>
        <v>30.5</v>
      </c>
      <c r="P1865" s="185"/>
      <c r="Q1865" s="185"/>
    </row>
    <row r="1866" spans="1:17" hidden="1" outlineLevel="2">
      <c r="E1866" s="59"/>
      <c r="F1866" s="60"/>
      <c r="G1866" s="34"/>
      <c r="H1866" s="30" t="s">
        <v>3619</v>
      </c>
      <c r="I1866" s="35"/>
      <c r="J1866" s="41"/>
      <c r="K1866" s="33"/>
      <c r="L1866" s="41"/>
      <c r="M1866" s="33"/>
      <c r="N1866" s="33">
        <f>20.24+19.71</f>
        <v>39.950000000000003</v>
      </c>
      <c r="O1866" s="58">
        <f t="shared" si="55"/>
        <v>39.950000000000003</v>
      </c>
      <c r="P1866" s="185"/>
      <c r="Q1866" s="185"/>
    </row>
    <row r="1867" spans="1:17" hidden="1" outlineLevel="2">
      <c r="E1867" s="59"/>
      <c r="F1867" s="60"/>
      <c r="G1867" s="34"/>
      <c r="H1867" s="30" t="s">
        <v>3620</v>
      </c>
      <c r="I1867" s="35"/>
      <c r="J1867" s="41"/>
      <c r="K1867" s="33"/>
      <c r="L1867" s="41"/>
      <c r="M1867" s="33"/>
      <c r="N1867" s="33">
        <v>50.95</v>
      </c>
      <c r="O1867" s="58">
        <f t="shared" si="55"/>
        <v>50.95</v>
      </c>
      <c r="P1867" s="185"/>
      <c r="Q1867" s="185"/>
    </row>
    <row r="1868" spans="1:17" hidden="1" outlineLevel="2">
      <c r="E1868" s="59"/>
      <c r="F1868" s="60"/>
      <c r="G1868" s="34"/>
      <c r="H1868" s="30" t="s">
        <v>3621</v>
      </c>
      <c r="I1868" s="35"/>
      <c r="J1868" s="41"/>
      <c r="K1868" s="33"/>
      <c r="L1868" s="41"/>
      <c r="M1868" s="33"/>
      <c r="N1868" s="33">
        <v>4.05</v>
      </c>
      <c r="O1868" s="58">
        <f t="shared" si="55"/>
        <v>4.05</v>
      </c>
      <c r="P1868" s="185"/>
      <c r="Q1868" s="185"/>
    </row>
    <row r="1869" spans="1:17" ht="30" hidden="1" outlineLevel="1">
      <c r="A1869" s="2">
        <v>6</v>
      </c>
      <c r="B1869" s="2">
        <v>5</v>
      </c>
      <c r="C1869" s="2">
        <f>1+C1853</f>
        <v>2</v>
      </c>
      <c r="E1869" s="20" t="str">
        <f>CONCATENATE(A1869,".",B1869,".",C1869)</f>
        <v>6.5.2</v>
      </c>
      <c r="F1869" s="21" t="s">
        <v>3656</v>
      </c>
      <c r="G1869" s="22">
        <v>1294</v>
      </c>
      <c r="H1869" s="23" t="s">
        <v>2983</v>
      </c>
      <c r="I1869" s="24" t="s">
        <v>45</v>
      </c>
      <c r="J1869" s="32"/>
      <c r="K1869" s="10"/>
      <c r="L1869" s="32"/>
      <c r="M1869" s="10"/>
      <c r="N1869" s="10"/>
      <c r="O1869" s="11">
        <f>SUM(O1870:O1915)</f>
        <v>1072.9899999999998</v>
      </c>
      <c r="P1869" s="28"/>
      <c r="Q1869" s="185"/>
    </row>
    <row r="1870" spans="1:17" hidden="1" outlineLevel="2">
      <c r="E1870" s="20"/>
      <c r="F1870" s="21"/>
      <c r="G1870" s="22"/>
      <c r="H1870" s="30" t="s">
        <v>3653</v>
      </c>
      <c r="I1870" s="24"/>
      <c r="J1870" s="41"/>
      <c r="K1870" s="33"/>
      <c r="L1870" s="41"/>
      <c r="M1870" s="33"/>
      <c r="N1870" s="33">
        <v>608</v>
      </c>
      <c r="O1870" s="58">
        <f t="shared" ref="O1870:O1884" si="56">ROUND(PRODUCT(J1870:N1870),2)</f>
        <v>608</v>
      </c>
      <c r="P1870" s="185"/>
      <c r="Q1870" s="185"/>
    </row>
    <row r="1871" spans="1:17" hidden="1" outlineLevel="2">
      <c r="E1871" s="20"/>
      <c r="F1871" s="21"/>
      <c r="G1871" s="22"/>
      <c r="H1871" s="30" t="s">
        <v>3654</v>
      </c>
      <c r="I1871" s="24"/>
      <c r="J1871" s="41"/>
      <c r="K1871" s="33"/>
      <c r="L1871" s="41"/>
      <c r="M1871" s="33"/>
      <c r="N1871" s="33">
        <v>8.5299999999999994</v>
      </c>
      <c r="O1871" s="58">
        <f t="shared" si="56"/>
        <v>8.5299999999999994</v>
      </c>
      <c r="P1871" s="185"/>
      <c r="Q1871" s="185"/>
    </row>
    <row r="1872" spans="1:17" hidden="1" outlineLevel="2">
      <c r="E1872" s="59"/>
      <c r="F1872" s="60"/>
      <c r="G1872" s="34"/>
      <c r="H1872" s="30" t="s">
        <v>3609</v>
      </c>
      <c r="I1872" s="35"/>
      <c r="J1872" s="41"/>
      <c r="K1872" s="33"/>
      <c r="L1872" s="41"/>
      <c r="M1872" s="33"/>
      <c r="N1872" s="33">
        <f>10.39+4.2</f>
        <v>14.59</v>
      </c>
      <c r="O1872" s="58">
        <f t="shared" si="56"/>
        <v>14.59</v>
      </c>
      <c r="P1872" s="185"/>
      <c r="Q1872" s="185"/>
    </row>
    <row r="1873" spans="5:17" hidden="1" outlineLevel="2">
      <c r="E1873" s="59"/>
      <c r="F1873" s="60"/>
      <c r="G1873" s="34"/>
      <c r="H1873" s="30" t="s">
        <v>3610</v>
      </c>
      <c r="I1873" s="35"/>
      <c r="J1873" s="41"/>
      <c r="K1873" s="33"/>
      <c r="L1873" s="41"/>
      <c r="M1873" s="33"/>
      <c r="N1873" s="33">
        <v>59.37</v>
      </c>
      <c r="O1873" s="58">
        <f t="shared" si="56"/>
        <v>59.37</v>
      </c>
      <c r="P1873" s="185"/>
      <c r="Q1873" s="185"/>
    </row>
    <row r="1874" spans="5:17" hidden="1" outlineLevel="2">
      <c r="E1874" s="59"/>
      <c r="F1874" s="60"/>
      <c r="G1874" s="34"/>
      <c r="H1874" s="30" t="s">
        <v>3611</v>
      </c>
      <c r="I1874" s="35"/>
      <c r="J1874" s="41"/>
      <c r="K1874" s="33"/>
      <c r="L1874" s="41"/>
      <c r="M1874" s="33"/>
      <c r="N1874" s="33">
        <v>13.14</v>
      </c>
      <c r="O1874" s="58">
        <f t="shared" si="56"/>
        <v>13.14</v>
      </c>
      <c r="P1874" s="185"/>
      <c r="Q1874" s="185"/>
    </row>
    <row r="1875" spans="5:17" hidden="1" outlineLevel="2">
      <c r="E1875" s="59"/>
      <c r="F1875" s="60"/>
      <c r="G1875" s="34"/>
      <c r="H1875" s="30" t="s">
        <v>3612</v>
      </c>
      <c r="I1875" s="35"/>
      <c r="J1875" s="41"/>
      <c r="K1875" s="33"/>
      <c r="L1875" s="41"/>
      <c r="M1875" s="33"/>
      <c r="N1875" s="33">
        <v>24.54</v>
      </c>
      <c r="O1875" s="58">
        <f t="shared" si="56"/>
        <v>24.54</v>
      </c>
      <c r="P1875" s="185"/>
      <c r="Q1875" s="185"/>
    </row>
    <row r="1876" spans="5:17" hidden="1" outlineLevel="2">
      <c r="E1876" s="59"/>
      <c r="F1876" s="60"/>
      <c r="G1876" s="34"/>
      <c r="H1876" s="30" t="s">
        <v>3613</v>
      </c>
      <c r="I1876" s="35"/>
      <c r="J1876" s="41"/>
      <c r="K1876" s="33"/>
      <c r="L1876" s="41"/>
      <c r="M1876" s="33"/>
      <c r="N1876" s="33">
        <v>21.15</v>
      </c>
      <c r="O1876" s="58">
        <f t="shared" si="56"/>
        <v>21.15</v>
      </c>
      <c r="P1876" s="185"/>
      <c r="Q1876" s="185"/>
    </row>
    <row r="1877" spans="5:17" hidden="1" outlineLevel="2">
      <c r="E1877" s="59"/>
      <c r="F1877" s="60"/>
      <c r="G1877" s="34"/>
      <c r="H1877" s="30" t="s">
        <v>3614</v>
      </c>
      <c r="I1877" s="35"/>
      <c r="J1877" s="41"/>
      <c r="K1877" s="33"/>
      <c r="L1877" s="41"/>
      <c r="M1877" s="33"/>
      <c r="N1877" s="33">
        <f>2.17*2</f>
        <v>4.34</v>
      </c>
      <c r="O1877" s="58">
        <f t="shared" si="56"/>
        <v>4.34</v>
      </c>
      <c r="P1877" s="185"/>
      <c r="Q1877" s="185"/>
    </row>
    <row r="1878" spans="5:17" hidden="1" outlineLevel="2">
      <c r="E1878" s="59"/>
      <c r="F1878" s="60"/>
      <c r="G1878" s="34"/>
      <c r="H1878" s="30" t="s">
        <v>3615</v>
      </c>
      <c r="I1878" s="35"/>
      <c r="J1878" s="41"/>
      <c r="K1878" s="33"/>
      <c r="L1878" s="41"/>
      <c r="M1878" s="33"/>
      <c r="N1878" s="33">
        <v>7.99</v>
      </c>
      <c r="O1878" s="58">
        <f t="shared" si="56"/>
        <v>7.99</v>
      </c>
      <c r="P1878" s="185"/>
      <c r="Q1878" s="185"/>
    </row>
    <row r="1879" spans="5:17" hidden="1" outlineLevel="2">
      <c r="E1879" s="59"/>
      <c r="F1879" s="60"/>
      <c r="G1879" s="34"/>
      <c r="H1879" s="30" t="s">
        <v>3616</v>
      </c>
      <c r="I1879" s="35"/>
      <c r="J1879" s="41"/>
      <c r="K1879" s="33"/>
      <c r="L1879" s="41"/>
      <c r="M1879" s="33"/>
      <c r="N1879" s="33">
        <f>8.18+3.13</f>
        <v>11.309999999999999</v>
      </c>
      <c r="O1879" s="58">
        <f t="shared" si="56"/>
        <v>11.31</v>
      </c>
      <c r="P1879" s="185"/>
      <c r="Q1879" s="185"/>
    </row>
    <row r="1880" spans="5:17" hidden="1" outlineLevel="2">
      <c r="E1880" s="59"/>
      <c r="F1880" s="60"/>
      <c r="G1880" s="34"/>
      <c r="H1880" s="30" t="s">
        <v>3617</v>
      </c>
      <c r="I1880" s="35"/>
      <c r="J1880" s="41"/>
      <c r="K1880" s="33"/>
      <c r="L1880" s="41"/>
      <c r="M1880" s="33"/>
      <c r="N1880" s="33">
        <v>13.77</v>
      </c>
      <c r="O1880" s="58">
        <f t="shared" si="56"/>
        <v>13.77</v>
      </c>
      <c r="P1880" s="185"/>
      <c r="Q1880" s="185"/>
    </row>
    <row r="1881" spans="5:17" hidden="1" outlineLevel="2">
      <c r="E1881" s="59"/>
      <c r="F1881" s="60"/>
      <c r="G1881" s="34"/>
      <c r="H1881" s="30" t="s">
        <v>3655</v>
      </c>
      <c r="I1881" s="35"/>
      <c r="J1881" s="41"/>
      <c r="K1881" s="33"/>
      <c r="L1881" s="41"/>
      <c r="M1881" s="33"/>
      <c r="N1881" s="33">
        <v>30.5</v>
      </c>
      <c r="O1881" s="58">
        <f t="shared" si="56"/>
        <v>30.5</v>
      </c>
      <c r="P1881" s="185"/>
      <c r="Q1881" s="185"/>
    </row>
    <row r="1882" spans="5:17" hidden="1" outlineLevel="2">
      <c r="E1882" s="59"/>
      <c r="F1882" s="60"/>
      <c r="G1882" s="34"/>
      <c r="H1882" s="30" t="s">
        <v>3619</v>
      </c>
      <c r="I1882" s="35"/>
      <c r="J1882" s="41"/>
      <c r="K1882" s="33"/>
      <c r="L1882" s="41"/>
      <c r="M1882" s="33"/>
      <c r="N1882" s="33">
        <f>20.24+19.71</f>
        <v>39.950000000000003</v>
      </c>
      <c r="O1882" s="58">
        <f t="shared" si="56"/>
        <v>39.950000000000003</v>
      </c>
      <c r="P1882" s="185"/>
      <c r="Q1882" s="185"/>
    </row>
    <row r="1883" spans="5:17" hidden="1" outlineLevel="2">
      <c r="E1883" s="59"/>
      <c r="F1883" s="60"/>
      <c r="G1883" s="34"/>
      <c r="H1883" s="30" t="s">
        <v>3620</v>
      </c>
      <c r="I1883" s="35"/>
      <c r="J1883" s="41"/>
      <c r="K1883" s="33"/>
      <c r="L1883" s="41"/>
      <c r="M1883" s="33"/>
      <c r="N1883" s="33">
        <v>50.95</v>
      </c>
      <c r="O1883" s="58">
        <f t="shared" si="56"/>
        <v>50.95</v>
      </c>
      <c r="P1883" s="185"/>
      <c r="Q1883" s="185"/>
    </row>
    <row r="1884" spans="5:17" hidden="1" outlineLevel="2">
      <c r="E1884" s="59"/>
      <c r="F1884" s="60"/>
      <c r="G1884" s="34"/>
      <c r="H1884" s="30" t="s">
        <v>3621</v>
      </c>
      <c r="I1884" s="35"/>
      <c r="J1884" s="41"/>
      <c r="K1884" s="33"/>
      <c r="L1884" s="41"/>
      <c r="M1884" s="33"/>
      <c r="N1884" s="33">
        <v>4.05</v>
      </c>
      <c r="O1884" s="58">
        <f t="shared" si="56"/>
        <v>4.05</v>
      </c>
      <c r="P1884" s="185"/>
      <c r="Q1884" s="185"/>
    </row>
    <row r="1885" spans="5:17" hidden="1" outlineLevel="2">
      <c r="E1885" s="59"/>
      <c r="F1885" s="60"/>
      <c r="G1885" s="34"/>
      <c r="H1885" s="30" t="s">
        <v>3657</v>
      </c>
      <c r="I1885" s="35"/>
      <c r="J1885" s="41"/>
      <c r="K1885" s="33">
        <v>12.27</v>
      </c>
      <c r="L1885" s="41"/>
      <c r="M1885" s="33">
        <v>0.4</v>
      </c>
      <c r="N1885" s="33"/>
      <c r="O1885" s="58">
        <f t="shared" ref="O1885:O1895" si="57">ROUND(PRODUCT(J1885:N1885),2)</f>
        <v>4.91</v>
      </c>
      <c r="P1885" s="185"/>
      <c r="Q1885" s="185"/>
    </row>
    <row r="1886" spans="5:17" hidden="1" outlineLevel="2">
      <c r="E1886" s="59"/>
      <c r="F1886" s="60"/>
      <c r="G1886" s="34"/>
      <c r="H1886" s="30" t="str">
        <f>CONCATENATE(H1885," - VÃO")</f>
        <v>DEPOSITO UTENSILIOS - PAREDE - VÃO</v>
      </c>
      <c r="I1886" s="35"/>
      <c r="J1886" s="41">
        <v>-1</v>
      </c>
      <c r="K1886" s="33"/>
      <c r="L1886" s="41"/>
      <c r="M1886" s="33">
        <v>0.4</v>
      </c>
      <c r="N1886" s="33">
        <v>0.9</v>
      </c>
      <c r="O1886" s="58">
        <f t="shared" si="57"/>
        <v>-0.36</v>
      </c>
      <c r="P1886" s="185"/>
      <c r="Q1886" s="185"/>
    </row>
    <row r="1887" spans="5:17" hidden="1" outlineLevel="2">
      <c r="E1887" s="59"/>
      <c r="F1887" s="60"/>
      <c r="G1887" s="34"/>
      <c r="H1887" s="30" t="s">
        <v>3658</v>
      </c>
      <c r="I1887" s="35"/>
      <c r="J1887" s="41"/>
      <c r="K1887" s="33">
        <v>11.93</v>
      </c>
      <c r="L1887" s="41"/>
      <c r="M1887" s="33">
        <v>0.4</v>
      </c>
      <c r="N1887" s="33"/>
      <c r="O1887" s="58">
        <f t="shared" si="57"/>
        <v>4.7699999999999996</v>
      </c>
      <c r="P1887" s="185"/>
      <c r="Q1887" s="185"/>
    </row>
    <row r="1888" spans="5:17" hidden="1" outlineLevel="2">
      <c r="E1888" s="59"/>
      <c r="F1888" s="60"/>
      <c r="G1888" s="34"/>
      <c r="H1888" s="30" t="str">
        <f>CONCATENATE(H1887," - VÃO")</f>
        <v>LAVAGEM PRATOS - PAREDE - VÃO</v>
      </c>
      <c r="I1888" s="35"/>
      <c r="J1888" s="41">
        <v>-1</v>
      </c>
      <c r="K1888" s="33"/>
      <c r="L1888" s="41"/>
      <c r="M1888" s="33">
        <v>0.4</v>
      </c>
      <c r="N1888" s="33">
        <v>0</v>
      </c>
      <c r="O1888" s="58">
        <f t="shared" si="57"/>
        <v>0</v>
      </c>
      <c r="P1888" s="185"/>
      <c r="Q1888" s="185"/>
    </row>
    <row r="1889" spans="5:17" hidden="1" outlineLevel="2">
      <c r="E1889" s="59"/>
      <c r="F1889" s="60"/>
      <c r="G1889" s="34"/>
      <c r="H1889" s="30" t="s">
        <v>3659</v>
      </c>
      <c r="I1889" s="35"/>
      <c r="J1889" s="41"/>
      <c r="K1889" s="33">
        <v>32.69</v>
      </c>
      <c r="L1889" s="41"/>
      <c r="M1889" s="33">
        <v>0.4</v>
      </c>
      <c r="N1889" s="33"/>
      <c r="O1889" s="58">
        <f t="shared" si="57"/>
        <v>13.08</v>
      </c>
      <c r="P1889" s="185"/>
      <c r="Q1889" s="185"/>
    </row>
    <row r="1890" spans="5:17" hidden="1" outlineLevel="2">
      <c r="E1890" s="59"/>
      <c r="F1890" s="60"/>
      <c r="G1890" s="34"/>
      <c r="H1890" s="30" t="str">
        <f>CONCATENATE(H1889," - VÃO")</f>
        <v>COZINHA - PAREDE - VÃO</v>
      </c>
      <c r="I1890" s="35"/>
      <c r="J1890" s="41">
        <v>-1</v>
      </c>
      <c r="K1890" s="33"/>
      <c r="L1890" s="41"/>
      <c r="M1890" s="33">
        <v>0.4</v>
      </c>
      <c r="N1890" s="33">
        <v>1</v>
      </c>
      <c r="O1890" s="58">
        <f t="shared" si="57"/>
        <v>-0.4</v>
      </c>
      <c r="P1890" s="185"/>
      <c r="Q1890" s="185"/>
    </row>
    <row r="1891" spans="5:17" hidden="1" outlineLevel="2">
      <c r="E1891" s="59"/>
      <c r="F1891" s="60"/>
      <c r="G1891" s="34"/>
      <c r="H1891" s="30" t="s">
        <v>3660</v>
      </c>
      <c r="I1891" s="35"/>
      <c r="J1891" s="41"/>
      <c r="K1891" s="33">
        <v>14.61</v>
      </c>
      <c r="L1891" s="41"/>
      <c r="M1891" s="33">
        <v>0.4</v>
      </c>
      <c r="N1891" s="33"/>
      <c r="O1891" s="58">
        <f t="shared" si="57"/>
        <v>5.84</v>
      </c>
      <c r="P1891" s="185"/>
      <c r="Q1891" s="185"/>
    </row>
    <row r="1892" spans="5:17" hidden="1" outlineLevel="2">
      <c r="E1892" s="59"/>
      <c r="F1892" s="60"/>
      <c r="G1892" s="34"/>
      <c r="H1892" s="30" t="str">
        <f>CONCATENATE(H1891," - VÃO")</f>
        <v>DESPENSA FRIA - PAREDE - VÃO</v>
      </c>
      <c r="I1892" s="35"/>
      <c r="J1892" s="41">
        <v>-1</v>
      </c>
      <c r="K1892" s="33"/>
      <c r="L1892" s="41"/>
      <c r="M1892" s="33">
        <v>0.4</v>
      </c>
      <c r="N1892" s="33">
        <v>1</v>
      </c>
      <c r="O1892" s="58">
        <f t="shared" si="57"/>
        <v>-0.4</v>
      </c>
      <c r="P1892" s="185"/>
      <c r="Q1892" s="185"/>
    </row>
    <row r="1893" spans="5:17" hidden="1" outlineLevel="2">
      <c r="E1893" s="59"/>
      <c r="F1893" s="60"/>
      <c r="G1893" s="34"/>
      <c r="H1893" s="30" t="s">
        <v>3661</v>
      </c>
      <c r="I1893" s="35"/>
      <c r="J1893" s="41"/>
      <c r="K1893" s="33">
        <v>19.84</v>
      </c>
      <c r="L1893" s="41"/>
      <c r="M1893" s="33">
        <v>0.4</v>
      </c>
      <c r="N1893" s="33"/>
      <c r="O1893" s="58">
        <f t="shared" si="57"/>
        <v>7.94</v>
      </c>
      <c r="P1893" s="185"/>
      <c r="Q1893" s="185"/>
    </row>
    <row r="1894" spans="5:17" hidden="1" outlineLevel="2">
      <c r="E1894" s="59"/>
      <c r="F1894" s="60"/>
      <c r="G1894" s="34"/>
      <c r="H1894" s="30" t="str">
        <f>CONCATENATE(H1893," - VÃO")</f>
        <v>DESPENSA SECA - PAREDE - VÃO</v>
      </c>
      <c r="I1894" s="35"/>
      <c r="J1894" s="41">
        <v>-1</v>
      </c>
      <c r="K1894" s="33"/>
      <c r="L1894" s="41"/>
      <c r="M1894" s="33">
        <v>0.4</v>
      </c>
      <c r="N1894" s="33">
        <v>0.9</v>
      </c>
      <c r="O1894" s="58">
        <f t="shared" si="57"/>
        <v>-0.36</v>
      </c>
      <c r="P1894" s="185"/>
      <c r="Q1894" s="185"/>
    </row>
    <row r="1895" spans="5:17" hidden="1" outlineLevel="2">
      <c r="E1895" s="59"/>
      <c r="F1895" s="60"/>
      <c r="G1895" s="34"/>
      <c r="H1895" s="30" t="s">
        <v>3662</v>
      </c>
      <c r="I1895" s="35"/>
      <c r="J1895" s="41"/>
      <c r="K1895" s="33">
        <v>18.54</v>
      </c>
      <c r="L1895" s="41"/>
      <c r="M1895" s="33">
        <v>0.4</v>
      </c>
      <c r="N1895" s="33"/>
      <c r="O1895" s="58">
        <f t="shared" si="57"/>
        <v>7.42</v>
      </c>
      <c r="P1895" s="185"/>
      <c r="Q1895" s="185"/>
    </row>
    <row r="1896" spans="5:17" hidden="1" outlineLevel="2">
      <c r="E1896" s="59"/>
      <c r="F1896" s="60"/>
      <c r="G1896" s="34"/>
      <c r="H1896" s="30" t="str">
        <f>CONCATENATE(H1895," - VÃO")</f>
        <v>GREMIO  - PAREDE - VÃO</v>
      </c>
      <c r="I1896" s="35"/>
      <c r="J1896" s="41">
        <v>-1</v>
      </c>
      <c r="K1896" s="33"/>
      <c r="L1896" s="41"/>
      <c r="M1896" s="33">
        <v>0.4</v>
      </c>
      <c r="N1896" s="33">
        <v>1.6</v>
      </c>
      <c r="O1896" s="58">
        <f t="shared" ref="O1896:O1915" si="58">ROUND(PRODUCT(J1896:N1896),2)</f>
        <v>-0.64</v>
      </c>
      <c r="P1896" s="185"/>
      <c r="Q1896" s="185"/>
    </row>
    <row r="1897" spans="5:17" hidden="1" outlineLevel="2">
      <c r="E1897" s="59"/>
      <c r="F1897" s="60"/>
      <c r="G1897" s="34"/>
      <c r="H1897" s="30" t="s">
        <v>3663</v>
      </c>
      <c r="I1897" s="35"/>
      <c r="J1897" s="41"/>
      <c r="K1897" s="33">
        <f>5.9+5.9</f>
        <v>11.8</v>
      </c>
      <c r="L1897" s="41"/>
      <c r="M1897" s="33">
        <v>0.4</v>
      </c>
      <c r="N1897" s="33"/>
      <c r="O1897" s="58">
        <f t="shared" si="58"/>
        <v>4.72</v>
      </c>
      <c r="P1897" s="185"/>
      <c r="Q1897" s="185"/>
    </row>
    <row r="1898" spans="5:17" hidden="1" outlineLevel="2">
      <c r="E1898" s="59"/>
      <c r="F1898" s="60"/>
      <c r="G1898" s="34"/>
      <c r="H1898" s="30" t="str">
        <f>CONCATENATE(H1897," - VÃO")</f>
        <v>WC COZINHA FEM E MASC - PAREDE - VÃO</v>
      </c>
      <c r="I1898" s="35"/>
      <c r="J1898" s="41">
        <v>-1</v>
      </c>
      <c r="K1898" s="33"/>
      <c r="L1898" s="41"/>
      <c r="M1898" s="33">
        <v>0.4</v>
      </c>
      <c r="N1898" s="33">
        <v>1.8</v>
      </c>
      <c r="O1898" s="58">
        <f t="shared" si="58"/>
        <v>-0.72</v>
      </c>
      <c r="P1898" s="185"/>
      <c r="Q1898" s="185"/>
    </row>
    <row r="1899" spans="5:17" hidden="1" outlineLevel="2">
      <c r="E1899" s="59"/>
      <c r="F1899" s="60"/>
      <c r="G1899" s="34"/>
      <c r="H1899" s="30" t="s">
        <v>3664</v>
      </c>
      <c r="I1899" s="35"/>
      <c r="J1899" s="41"/>
      <c r="K1899" s="33">
        <v>9.6999999999999993</v>
      </c>
      <c r="L1899" s="41"/>
      <c r="M1899" s="33">
        <v>0.4</v>
      </c>
      <c r="N1899" s="33"/>
      <c r="O1899" s="58">
        <f t="shared" si="58"/>
        <v>3.88</v>
      </c>
      <c r="P1899" s="185"/>
      <c r="Q1899" s="185"/>
    </row>
    <row r="1900" spans="5:17" hidden="1" outlineLevel="2">
      <c r="E1900" s="59"/>
      <c r="F1900" s="60"/>
      <c r="G1900" s="34"/>
      <c r="H1900" s="30" t="str">
        <f>CONCATENATE(H1899," - VÃO")</f>
        <v>LAVAGEM PANELAS / CIRCULAÇÃO - PAREDE - VÃO</v>
      </c>
      <c r="I1900" s="35"/>
      <c r="J1900" s="41">
        <v>-1</v>
      </c>
      <c r="K1900" s="33"/>
      <c r="L1900" s="41"/>
      <c r="M1900" s="33">
        <v>0.4</v>
      </c>
      <c r="N1900" s="33">
        <v>0.9</v>
      </c>
      <c r="O1900" s="58">
        <f t="shared" si="58"/>
        <v>-0.36</v>
      </c>
      <c r="P1900" s="185"/>
      <c r="Q1900" s="185"/>
    </row>
    <row r="1901" spans="5:17" hidden="1" outlineLevel="2">
      <c r="E1901" s="59"/>
      <c r="F1901" s="60"/>
      <c r="G1901" s="34"/>
      <c r="H1901" s="30" t="s">
        <v>3665</v>
      </c>
      <c r="I1901" s="35"/>
      <c r="J1901" s="41"/>
      <c r="K1901" s="33">
        <f>14.49+7.09</f>
        <v>21.58</v>
      </c>
      <c r="L1901" s="41"/>
      <c r="M1901" s="33">
        <v>0.4</v>
      </c>
      <c r="N1901" s="33"/>
      <c r="O1901" s="58">
        <f t="shared" si="58"/>
        <v>8.6300000000000008</v>
      </c>
      <c r="P1901" s="185"/>
      <c r="Q1901" s="185"/>
    </row>
    <row r="1902" spans="5:17" hidden="1" outlineLevel="2">
      <c r="E1902" s="59"/>
      <c r="F1902" s="60"/>
      <c r="G1902" s="34"/>
      <c r="H1902" s="30" t="str">
        <f>CONCATENATE(H1901," - VÃO")</f>
        <v>CIRCULAÇÃO / DML - PAREDE - VÃO</v>
      </c>
      <c r="I1902" s="35"/>
      <c r="J1902" s="41">
        <v>-1</v>
      </c>
      <c r="K1902" s="33"/>
      <c r="L1902" s="41"/>
      <c r="M1902" s="33">
        <v>0.4</v>
      </c>
      <c r="N1902" s="33">
        <f>3*1+0.9+0.9</f>
        <v>4.8</v>
      </c>
      <c r="O1902" s="58">
        <f t="shared" si="58"/>
        <v>-1.92</v>
      </c>
      <c r="P1902" s="185"/>
      <c r="Q1902" s="185"/>
    </row>
    <row r="1903" spans="5:17" hidden="1" outlineLevel="2">
      <c r="E1903" s="59"/>
      <c r="F1903" s="60"/>
      <c r="G1903" s="34"/>
      <c r="H1903" s="30" t="s">
        <v>3666</v>
      </c>
      <c r="I1903" s="35"/>
      <c r="J1903" s="41"/>
      <c r="K1903" s="33">
        <v>15.26</v>
      </c>
      <c r="L1903" s="41"/>
      <c r="M1903" s="33">
        <v>0.4</v>
      </c>
      <c r="N1903" s="33"/>
      <c r="O1903" s="58">
        <f t="shared" si="58"/>
        <v>6.1</v>
      </c>
      <c r="P1903" s="185"/>
      <c r="Q1903" s="185"/>
    </row>
    <row r="1904" spans="5:17" hidden="1" outlineLevel="2">
      <c r="E1904" s="59"/>
      <c r="F1904" s="60"/>
      <c r="G1904" s="34"/>
      <c r="H1904" s="30" t="str">
        <f>CONCATENATE(H1903," - VÃO")</f>
        <v>DESPENSA HORTIFRUTTI - PAREDE - VÃO</v>
      </c>
      <c r="I1904" s="35"/>
      <c r="J1904" s="41">
        <v>-1</v>
      </c>
      <c r="K1904" s="33"/>
      <c r="L1904" s="41"/>
      <c r="M1904" s="33">
        <v>0.4</v>
      </c>
      <c r="N1904" s="33">
        <v>0.9</v>
      </c>
      <c r="O1904" s="58">
        <f t="shared" si="58"/>
        <v>-0.36</v>
      </c>
      <c r="P1904" s="185"/>
      <c r="Q1904" s="185"/>
    </row>
    <row r="1905" spans="1:17" hidden="1" outlineLevel="2">
      <c r="E1905" s="59"/>
      <c r="F1905" s="60"/>
      <c r="G1905" s="34"/>
      <c r="H1905" s="30" t="s">
        <v>3667</v>
      </c>
      <c r="I1905" s="35"/>
      <c r="J1905" s="41"/>
      <c r="K1905" s="33">
        <v>23.16</v>
      </c>
      <c r="L1905" s="41"/>
      <c r="M1905" s="33">
        <v>0.4</v>
      </c>
      <c r="N1905" s="33"/>
      <c r="O1905" s="58">
        <f t="shared" si="58"/>
        <v>9.26</v>
      </c>
      <c r="P1905" s="185"/>
      <c r="Q1905" s="185"/>
    </row>
    <row r="1906" spans="1:17" hidden="1" outlineLevel="2">
      <c r="E1906" s="59"/>
      <c r="F1906" s="60"/>
      <c r="G1906" s="34"/>
      <c r="H1906" s="30" t="str">
        <f>CONCATENATE(H1905," - VÃO")</f>
        <v>DEPOSITO / MANUNT MOBILIARIO - PAREDE - VÃO</v>
      </c>
      <c r="I1906" s="35"/>
      <c r="J1906" s="41">
        <v>-1</v>
      </c>
      <c r="K1906" s="33"/>
      <c r="L1906" s="41"/>
      <c r="M1906" s="33">
        <v>0.4</v>
      </c>
      <c r="N1906" s="33">
        <v>1.6</v>
      </c>
      <c r="O1906" s="58">
        <f t="shared" si="58"/>
        <v>-0.64</v>
      </c>
      <c r="P1906" s="185"/>
      <c r="Q1906" s="185"/>
    </row>
    <row r="1907" spans="1:17" hidden="1" outlineLevel="2">
      <c r="E1907" s="59"/>
      <c r="F1907" s="60"/>
      <c r="G1907" s="34"/>
      <c r="H1907" s="30" t="s">
        <v>3668</v>
      </c>
      <c r="I1907" s="35"/>
      <c r="J1907" s="41"/>
      <c r="K1907" s="33">
        <f>19.25+19.25</f>
        <v>38.5</v>
      </c>
      <c r="L1907" s="41"/>
      <c r="M1907" s="33">
        <v>0.4</v>
      </c>
      <c r="N1907" s="33"/>
      <c r="O1907" s="58">
        <f t="shared" si="58"/>
        <v>15.4</v>
      </c>
      <c r="P1907" s="185"/>
      <c r="Q1907" s="185"/>
    </row>
    <row r="1908" spans="1:17" hidden="1" outlineLevel="2">
      <c r="E1908" s="59"/>
      <c r="F1908" s="60"/>
      <c r="G1908" s="34"/>
      <c r="H1908" s="30" t="str">
        <f>CONCATENATE(H1907," - VÃO")</f>
        <v>VEST FUNC FEM / VEST FUNC MASC - PAREDE - VÃO</v>
      </c>
      <c r="I1908" s="35"/>
      <c r="J1908" s="41">
        <v>-1</v>
      </c>
      <c r="K1908" s="33"/>
      <c r="L1908" s="41"/>
      <c r="M1908" s="33">
        <v>0.4</v>
      </c>
      <c r="N1908" s="33">
        <v>1.8</v>
      </c>
      <c r="O1908" s="58">
        <f t="shared" si="58"/>
        <v>-0.72</v>
      </c>
      <c r="P1908" s="185"/>
      <c r="Q1908" s="185"/>
    </row>
    <row r="1909" spans="1:17" hidden="1" outlineLevel="2">
      <c r="E1909" s="59"/>
      <c r="F1909" s="60"/>
      <c r="G1909" s="34"/>
      <c r="H1909" s="30" t="s">
        <v>3669</v>
      </c>
      <c r="I1909" s="35"/>
      <c r="J1909" s="41"/>
      <c r="K1909" s="33">
        <v>25.6</v>
      </c>
      <c r="L1909" s="41"/>
      <c r="M1909" s="33">
        <v>0.4</v>
      </c>
      <c r="N1909" s="33"/>
      <c r="O1909" s="58">
        <f t="shared" si="58"/>
        <v>10.24</v>
      </c>
      <c r="P1909" s="185"/>
      <c r="Q1909" s="185"/>
    </row>
    <row r="1910" spans="1:17" hidden="1" outlineLevel="2">
      <c r="E1910" s="59"/>
      <c r="F1910" s="60"/>
      <c r="G1910" s="34"/>
      <c r="H1910" s="30" t="str">
        <f>CONCATENATE(H1909," - VÃO")</f>
        <v>CARGA E DESCARGA - PAREDE - VÃO</v>
      </c>
      <c r="I1910" s="35"/>
      <c r="J1910" s="41">
        <v>-1</v>
      </c>
      <c r="K1910" s="33"/>
      <c r="L1910" s="41"/>
      <c r="M1910" s="33">
        <v>0.4</v>
      </c>
      <c r="N1910" s="33">
        <v>1</v>
      </c>
      <c r="O1910" s="58">
        <f t="shared" si="58"/>
        <v>-0.4</v>
      </c>
      <c r="P1910" s="185"/>
      <c r="Q1910" s="185"/>
    </row>
    <row r="1911" spans="1:17" hidden="1" outlineLevel="2">
      <c r="E1911" s="59"/>
      <c r="F1911" s="60"/>
      <c r="G1911" s="34"/>
      <c r="H1911" s="30" t="s">
        <v>3670</v>
      </c>
      <c r="I1911" s="35"/>
      <c r="J1911" s="41"/>
      <c r="K1911" s="33">
        <v>10.1</v>
      </c>
      <c r="L1911" s="41"/>
      <c r="M1911" s="33">
        <v>0.4</v>
      </c>
      <c r="N1911" s="33"/>
      <c r="O1911" s="58">
        <f t="shared" si="58"/>
        <v>4.04</v>
      </c>
      <c r="P1911" s="185"/>
      <c r="Q1911" s="185"/>
    </row>
    <row r="1912" spans="1:17" hidden="1" outlineLevel="2">
      <c r="E1912" s="59"/>
      <c r="F1912" s="60"/>
      <c r="G1912" s="34"/>
      <c r="H1912" s="30" t="str">
        <f>CONCATENATE(H1911," - VÃO")</f>
        <v>LIXEIRO- PAREDE - VÃO</v>
      </c>
      <c r="I1912" s="35"/>
      <c r="J1912" s="41">
        <v>-1</v>
      </c>
      <c r="K1912" s="33"/>
      <c r="L1912" s="41"/>
      <c r="M1912" s="33">
        <v>0.4</v>
      </c>
      <c r="N1912" s="33">
        <f>1.8*2</f>
        <v>3.6</v>
      </c>
      <c r="O1912" s="58">
        <f t="shared" si="58"/>
        <v>-1.44</v>
      </c>
      <c r="P1912" s="185"/>
      <c r="Q1912" s="185"/>
    </row>
    <row r="1913" spans="1:17" hidden="1" outlineLevel="2">
      <c r="E1913" s="59"/>
      <c r="F1913" s="60"/>
      <c r="G1913" s="34"/>
      <c r="H1913" s="30" t="s">
        <v>3671</v>
      </c>
      <c r="I1913" s="35"/>
      <c r="J1913" s="41"/>
      <c r="K1913" s="41">
        <f>K1805</f>
        <v>29.48</v>
      </c>
      <c r="L1913" s="41"/>
      <c r="M1913" s="33">
        <v>0.4</v>
      </c>
      <c r="N1913" s="33"/>
      <c r="O1913" s="58">
        <f t="shared" si="58"/>
        <v>11.79</v>
      </c>
      <c r="P1913" s="185"/>
      <c r="Q1913" s="185"/>
    </row>
    <row r="1914" spans="1:17" hidden="1" outlineLevel="2">
      <c r="E1914" s="59"/>
      <c r="F1914" s="60"/>
      <c r="G1914" s="34"/>
      <c r="H1914" s="30" t="s">
        <v>3672</v>
      </c>
      <c r="I1914" s="35"/>
      <c r="J1914" s="41"/>
      <c r="K1914" s="41">
        <f>K1806</f>
        <v>46.209999999999994</v>
      </c>
      <c r="L1914" s="41"/>
      <c r="M1914" s="33">
        <v>0.4</v>
      </c>
      <c r="N1914" s="33"/>
      <c r="O1914" s="58">
        <f>ROUND(PRODUCT(J1914:N1914),2)</f>
        <v>18.48</v>
      </c>
      <c r="P1914" s="185"/>
      <c r="Q1914" s="185"/>
    </row>
    <row r="1915" spans="1:17" hidden="1" outlineLevel="2">
      <c r="E1915" s="59"/>
      <c r="F1915" s="60"/>
      <c r="G1915" s="34"/>
      <c r="H1915" s="30" t="s">
        <v>3672</v>
      </c>
      <c r="I1915" s="35"/>
      <c r="J1915" s="41"/>
      <c r="K1915" s="41">
        <f>K1807</f>
        <v>82.58</v>
      </c>
      <c r="L1915" s="41"/>
      <c r="M1915" s="33">
        <v>0.4</v>
      </c>
      <c r="N1915" s="33"/>
      <c r="O1915" s="58">
        <f t="shared" si="58"/>
        <v>33.03</v>
      </c>
      <c r="P1915" s="185"/>
      <c r="Q1915" s="185"/>
    </row>
    <row r="1916" spans="1:17" ht="30" hidden="1" outlineLevel="1">
      <c r="A1916" s="2">
        <v>6</v>
      </c>
      <c r="B1916" s="2">
        <v>5</v>
      </c>
      <c r="C1916" s="2">
        <f>1+C1869</f>
        <v>3</v>
      </c>
      <c r="E1916" s="20" t="str">
        <f>CONCATENATE(A1916,".",B1916,".",C1916)</f>
        <v>6.5.3</v>
      </c>
      <c r="F1916" s="21" t="s">
        <v>3673</v>
      </c>
      <c r="G1916" s="22">
        <v>98563</v>
      </c>
      <c r="H1916" s="23" t="s">
        <v>199</v>
      </c>
      <c r="I1916" s="24" t="s">
        <v>45</v>
      </c>
      <c r="J1916" s="32"/>
      <c r="K1916" s="10"/>
      <c r="L1916" s="32"/>
      <c r="M1916" s="10"/>
      <c r="N1916" s="10"/>
      <c r="O1916" s="11">
        <f>SUM(O1917:O1917)</f>
        <v>608</v>
      </c>
      <c r="P1916" s="28"/>
      <c r="Q1916" s="185"/>
    </row>
    <row r="1917" spans="1:17" hidden="1" outlineLevel="2">
      <c r="E1917" s="20"/>
      <c r="F1917" s="21"/>
      <c r="G1917" s="22"/>
      <c r="H1917" s="30" t="s">
        <v>3653</v>
      </c>
      <c r="I1917" s="24"/>
      <c r="J1917" s="41"/>
      <c r="K1917" s="33"/>
      <c r="L1917" s="41"/>
      <c r="M1917" s="33"/>
      <c r="N1917" s="33">
        <v>608</v>
      </c>
      <c r="O1917" s="58">
        <f>ROUND(PRODUCT(J1917:N1917),2)</f>
        <v>608</v>
      </c>
      <c r="P1917" s="185"/>
      <c r="Q1917" s="185"/>
    </row>
    <row r="1918" spans="1:17" ht="30" hidden="1" outlineLevel="1">
      <c r="A1918" s="2">
        <v>6</v>
      </c>
      <c r="B1918" s="2">
        <v>5</v>
      </c>
      <c r="C1918" s="2">
        <f>1+C1916</f>
        <v>4</v>
      </c>
      <c r="E1918" s="20" t="str">
        <f>CONCATENATE(A1918,".",B1918,".",C1918)</f>
        <v>6.5.4</v>
      </c>
      <c r="F1918" s="21" t="s">
        <v>3674</v>
      </c>
      <c r="G1918" s="22">
        <v>98557</v>
      </c>
      <c r="H1918" s="23" t="s">
        <v>202</v>
      </c>
      <c r="I1918" s="24" t="s">
        <v>45</v>
      </c>
      <c r="J1918" s="32"/>
      <c r="K1918" s="10"/>
      <c r="L1918" s="32"/>
      <c r="M1918" s="10"/>
      <c r="N1918" s="10"/>
      <c r="O1918" s="11">
        <f>SUM(O1919:O1920)</f>
        <v>337.1</v>
      </c>
      <c r="P1918" s="28"/>
      <c r="Q1918" s="185"/>
    </row>
    <row r="1919" spans="1:17" hidden="1" outlineLevel="2">
      <c r="E1919" s="20"/>
      <c r="F1919" s="21"/>
      <c r="G1919" s="34"/>
      <c r="H1919" s="30"/>
      <c r="I1919" s="35"/>
      <c r="J1919" s="25"/>
      <c r="K1919" s="33"/>
      <c r="L1919" s="41"/>
      <c r="M1919" s="33"/>
      <c r="N1919" s="33">
        <v>190.7</v>
      </c>
      <c r="O1919" s="31">
        <f>ROUND(PRODUCT(J1919:N1919),2)</f>
        <v>190.7</v>
      </c>
      <c r="P1919" s="185"/>
      <c r="Q1919" s="185"/>
    </row>
    <row r="1920" spans="1:17" hidden="1" outlineLevel="2">
      <c r="E1920" s="20"/>
      <c r="F1920" s="21"/>
      <c r="G1920" s="34"/>
      <c r="H1920" s="30"/>
      <c r="I1920" s="35"/>
      <c r="J1920" s="25"/>
      <c r="K1920" s="33"/>
      <c r="L1920" s="41"/>
      <c r="M1920" s="33"/>
      <c r="N1920" s="33">
        <f>99.05+47.35</f>
        <v>146.4</v>
      </c>
      <c r="O1920" s="31">
        <f>ROUND(PRODUCT(J1920:N1920),2)</f>
        <v>146.4</v>
      </c>
      <c r="P1920" s="185"/>
      <c r="Q1920" s="185"/>
    </row>
    <row r="1921" spans="1:17" collapsed="1">
      <c r="A1921" s="2">
        <v>6</v>
      </c>
      <c r="B1921" s="2">
        <v>6</v>
      </c>
      <c r="E1921" s="42" t="str">
        <f>CONCATENATE(A1921,".",B1921)</f>
        <v>6.6</v>
      </c>
      <c r="F1921" s="45" t="s">
        <v>3675</v>
      </c>
      <c r="G1921" s="13"/>
      <c r="H1921" s="14" t="s">
        <v>204</v>
      </c>
      <c r="I1921" s="13"/>
      <c r="J1921" s="16"/>
      <c r="K1921" s="17"/>
      <c r="L1921" s="16"/>
      <c r="M1921" s="17"/>
      <c r="N1921" s="18"/>
      <c r="O1921" s="13"/>
      <c r="P1921" s="185"/>
      <c r="Q1921" s="185"/>
    </row>
    <row r="1922" spans="1:17" ht="45" hidden="1" outlineLevel="1">
      <c r="A1922" s="2">
        <v>6</v>
      </c>
      <c r="B1922" s="2">
        <v>6</v>
      </c>
      <c r="C1922" s="2">
        <v>1</v>
      </c>
      <c r="E1922" s="20" t="str">
        <f>CONCATENATE(A1922,".",B1922,".",C1922)</f>
        <v>6.6.1</v>
      </c>
      <c r="F1922" s="21" t="s">
        <v>3676</v>
      </c>
      <c r="G1922" s="22">
        <v>97084</v>
      </c>
      <c r="H1922" s="23" t="s">
        <v>207</v>
      </c>
      <c r="I1922" s="22" t="s">
        <v>45</v>
      </c>
      <c r="J1922" s="32"/>
      <c r="K1922" s="10"/>
      <c r="L1922" s="32"/>
      <c r="M1922" s="10"/>
      <c r="N1922" s="33"/>
      <c r="O1922" s="27">
        <f>SUM(O1923:O1937)</f>
        <v>597.19999999999993</v>
      </c>
      <c r="P1922" s="185"/>
      <c r="Q1922" s="185"/>
    </row>
    <row r="1923" spans="1:17" hidden="1" outlineLevel="1">
      <c r="E1923" s="59"/>
      <c r="F1923" s="60"/>
      <c r="G1923" s="34"/>
      <c r="H1923" s="30" t="s">
        <v>3677</v>
      </c>
      <c r="I1923" s="35"/>
      <c r="J1923" s="41"/>
      <c r="K1923" s="33"/>
      <c r="L1923" s="41"/>
      <c r="M1923" s="33"/>
      <c r="N1923" s="33">
        <v>293.02</v>
      </c>
      <c r="O1923" s="58">
        <f t="shared" ref="O1923:O1937" si="59">ROUND(PRODUCT(J1923:N1923),2)</f>
        <v>293.02</v>
      </c>
      <c r="P1923" s="185"/>
      <c r="Q1923" s="185"/>
    </row>
    <row r="1924" spans="1:17" hidden="1" outlineLevel="1">
      <c r="E1924" s="59"/>
      <c r="F1924" s="21"/>
      <c r="G1924" s="22"/>
      <c r="H1924" s="30" t="s">
        <v>3654</v>
      </c>
      <c r="I1924" s="24"/>
      <c r="J1924" s="41"/>
      <c r="K1924" s="33"/>
      <c r="L1924" s="41"/>
      <c r="M1924" s="33"/>
      <c r="N1924" s="33">
        <v>8.5299999999999994</v>
      </c>
      <c r="O1924" s="58">
        <f t="shared" si="59"/>
        <v>8.5299999999999994</v>
      </c>
      <c r="P1924" s="185"/>
      <c r="Q1924" s="185"/>
    </row>
    <row r="1925" spans="1:17" hidden="1" outlineLevel="1">
      <c r="E1925" s="59"/>
      <c r="F1925" s="60"/>
      <c r="G1925" s="34"/>
      <c r="H1925" s="30" t="s">
        <v>3609</v>
      </c>
      <c r="I1925" s="35"/>
      <c r="J1925" s="41"/>
      <c r="K1925" s="33"/>
      <c r="L1925" s="41"/>
      <c r="M1925" s="33"/>
      <c r="N1925" s="33">
        <f>10.39+4.2</f>
        <v>14.59</v>
      </c>
      <c r="O1925" s="58">
        <f t="shared" si="59"/>
        <v>14.59</v>
      </c>
      <c r="P1925" s="185"/>
      <c r="Q1925" s="185"/>
    </row>
    <row r="1926" spans="1:17" hidden="1" outlineLevel="1">
      <c r="E1926" s="59"/>
      <c r="F1926" s="60"/>
      <c r="G1926" s="34"/>
      <c r="H1926" s="30" t="s">
        <v>3610</v>
      </c>
      <c r="I1926" s="35"/>
      <c r="J1926" s="41"/>
      <c r="K1926" s="33"/>
      <c r="L1926" s="41"/>
      <c r="M1926" s="33"/>
      <c r="N1926" s="33">
        <v>59.37</v>
      </c>
      <c r="O1926" s="58">
        <f t="shared" si="59"/>
        <v>59.37</v>
      </c>
      <c r="P1926" s="185"/>
      <c r="Q1926" s="185"/>
    </row>
    <row r="1927" spans="1:17" hidden="1" outlineLevel="1">
      <c r="E1927" s="59"/>
      <c r="F1927" s="60"/>
      <c r="G1927" s="34"/>
      <c r="H1927" s="30" t="s">
        <v>3611</v>
      </c>
      <c r="I1927" s="35"/>
      <c r="J1927" s="41"/>
      <c r="K1927" s="33"/>
      <c r="L1927" s="41"/>
      <c r="M1927" s="33"/>
      <c r="N1927" s="33">
        <v>13.14</v>
      </c>
      <c r="O1927" s="58">
        <f t="shared" si="59"/>
        <v>13.14</v>
      </c>
      <c r="P1927" s="185"/>
      <c r="Q1927" s="185"/>
    </row>
    <row r="1928" spans="1:17" hidden="1" outlineLevel="1">
      <c r="E1928" s="59"/>
      <c r="F1928" s="60"/>
      <c r="G1928" s="34"/>
      <c r="H1928" s="30" t="s">
        <v>3612</v>
      </c>
      <c r="I1928" s="35"/>
      <c r="J1928" s="41"/>
      <c r="K1928" s="33"/>
      <c r="L1928" s="41"/>
      <c r="M1928" s="33"/>
      <c r="N1928" s="33">
        <v>24.54</v>
      </c>
      <c r="O1928" s="58">
        <f t="shared" si="59"/>
        <v>24.54</v>
      </c>
      <c r="P1928" s="185"/>
      <c r="Q1928" s="185"/>
    </row>
    <row r="1929" spans="1:17" hidden="1" outlineLevel="1">
      <c r="E1929" s="59"/>
      <c r="F1929" s="60"/>
      <c r="G1929" s="34"/>
      <c r="H1929" s="30" t="s">
        <v>3613</v>
      </c>
      <c r="I1929" s="35"/>
      <c r="J1929" s="41"/>
      <c r="K1929" s="33"/>
      <c r="L1929" s="41"/>
      <c r="M1929" s="33"/>
      <c r="N1929" s="33">
        <v>21.15</v>
      </c>
      <c r="O1929" s="58">
        <f t="shared" si="59"/>
        <v>21.15</v>
      </c>
      <c r="P1929" s="185"/>
      <c r="Q1929" s="185"/>
    </row>
    <row r="1930" spans="1:17" hidden="1" outlineLevel="1">
      <c r="E1930" s="59"/>
      <c r="F1930" s="60"/>
      <c r="G1930" s="34"/>
      <c r="H1930" s="30" t="s">
        <v>3614</v>
      </c>
      <c r="I1930" s="35"/>
      <c r="J1930" s="41"/>
      <c r="K1930" s="33"/>
      <c r="L1930" s="41"/>
      <c r="M1930" s="33"/>
      <c r="N1930" s="33">
        <f>2.17*2</f>
        <v>4.34</v>
      </c>
      <c r="O1930" s="58">
        <f t="shared" si="59"/>
        <v>4.34</v>
      </c>
      <c r="P1930" s="185"/>
      <c r="Q1930" s="185"/>
    </row>
    <row r="1931" spans="1:17" hidden="1" outlineLevel="1">
      <c r="E1931" s="59"/>
      <c r="F1931" s="60"/>
      <c r="G1931" s="34"/>
      <c r="H1931" s="30" t="s">
        <v>3615</v>
      </c>
      <c r="I1931" s="35"/>
      <c r="J1931" s="41"/>
      <c r="K1931" s="33"/>
      <c r="L1931" s="41"/>
      <c r="M1931" s="33"/>
      <c r="N1931" s="33">
        <v>7.99</v>
      </c>
      <c r="O1931" s="58">
        <f t="shared" si="59"/>
        <v>7.99</v>
      </c>
      <c r="P1931" s="185"/>
      <c r="Q1931" s="185"/>
    </row>
    <row r="1932" spans="1:17" hidden="1" outlineLevel="1">
      <c r="E1932" s="59"/>
      <c r="F1932" s="60"/>
      <c r="G1932" s="34"/>
      <c r="H1932" s="30" t="s">
        <v>3616</v>
      </c>
      <c r="I1932" s="35"/>
      <c r="J1932" s="41"/>
      <c r="K1932" s="33"/>
      <c r="L1932" s="41"/>
      <c r="M1932" s="33"/>
      <c r="N1932" s="33">
        <f>8.18+3.13</f>
        <v>11.309999999999999</v>
      </c>
      <c r="O1932" s="58">
        <f t="shared" si="59"/>
        <v>11.31</v>
      </c>
      <c r="P1932" s="185"/>
      <c r="Q1932" s="185"/>
    </row>
    <row r="1933" spans="1:17" hidden="1" outlineLevel="1">
      <c r="E1933" s="59"/>
      <c r="F1933" s="60"/>
      <c r="G1933" s="34"/>
      <c r="H1933" s="30" t="s">
        <v>3617</v>
      </c>
      <c r="I1933" s="35"/>
      <c r="J1933" s="41"/>
      <c r="K1933" s="33"/>
      <c r="L1933" s="41"/>
      <c r="M1933" s="33"/>
      <c r="N1933" s="33">
        <v>13.77</v>
      </c>
      <c r="O1933" s="58">
        <f t="shared" si="59"/>
        <v>13.77</v>
      </c>
      <c r="P1933" s="185"/>
      <c r="Q1933" s="185"/>
    </row>
    <row r="1934" spans="1:17" hidden="1" outlineLevel="1">
      <c r="E1934" s="59"/>
      <c r="F1934" s="60"/>
      <c r="G1934" s="34"/>
      <c r="H1934" s="30" t="s">
        <v>3655</v>
      </c>
      <c r="I1934" s="35"/>
      <c r="J1934" s="41"/>
      <c r="K1934" s="33"/>
      <c r="L1934" s="41"/>
      <c r="M1934" s="33"/>
      <c r="N1934" s="33">
        <v>30.5</v>
      </c>
      <c r="O1934" s="58">
        <f t="shared" si="59"/>
        <v>30.5</v>
      </c>
      <c r="P1934" s="185"/>
      <c r="Q1934" s="185"/>
    </row>
    <row r="1935" spans="1:17" hidden="1" outlineLevel="1">
      <c r="E1935" s="59"/>
      <c r="F1935" s="60"/>
      <c r="G1935" s="34"/>
      <c r="H1935" s="30" t="s">
        <v>3619</v>
      </c>
      <c r="I1935" s="35"/>
      <c r="J1935" s="41"/>
      <c r="K1935" s="33"/>
      <c r="L1935" s="41"/>
      <c r="M1935" s="33"/>
      <c r="N1935" s="33">
        <f>20.24+19.71</f>
        <v>39.950000000000003</v>
      </c>
      <c r="O1935" s="58">
        <f t="shared" si="59"/>
        <v>39.950000000000003</v>
      </c>
      <c r="P1935" s="185"/>
      <c r="Q1935" s="185"/>
    </row>
    <row r="1936" spans="1:17" hidden="1" outlineLevel="1">
      <c r="E1936" s="59"/>
      <c r="F1936" s="60"/>
      <c r="G1936" s="34"/>
      <c r="H1936" s="30" t="s">
        <v>3620</v>
      </c>
      <c r="I1936" s="35"/>
      <c r="J1936" s="41"/>
      <c r="K1936" s="33"/>
      <c r="L1936" s="41"/>
      <c r="M1936" s="33"/>
      <c r="N1936" s="33">
        <v>50.95</v>
      </c>
      <c r="O1936" s="58">
        <f t="shared" si="59"/>
        <v>50.95</v>
      </c>
      <c r="P1936" s="185"/>
      <c r="Q1936" s="185"/>
    </row>
    <row r="1937" spans="1:17" hidden="1" outlineLevel="1">
      <c r="E1937" s="59"/>
      <c r="F1937" s="60"/>
      <c r="G1937" s="34"/>
      <c r="H1937" s="30" t="s">
        <v>3621</v>
      </c>
      <c r="I1937" s="35"/>
      <c r="J1937" s="41"/>
      <c r="K1937" s="33"/>
      <c r="L1937" s="41"/>
      <c r="M1937" s="33"/>
      <c r="N1937" s="33">
        <v>4.05</v>
      </c>
      <c r="O1937" s="58">
        <f t="shared" si="59"/>
        <v>4.05</v>
      </c>
      <c r="P1937" s="185"/>
      <c r="Q1937" s="185"/>
    </row>
    <row r="1938" spans="1:17" ht="30" hidden="1" outlineLevel="1">
      <c r="A1938" s="2">
        <v>6</v>
      </c>
      <c r="B1938" s="2">
        <v>6</v>
      </c>
      <c r="C1938" s="2">
        <f>1+C1922</f>
        <v>2</v>
      </c>
      <c r="E1938" s="20" t="str">
        <f>CONCATENATE(A1938,".",B1938,".",C1938)</f>
        <v>6.6.2</v>
      </c>
      <c r="F1938" s="21" t="s">
        <v>3678</v>
      </c>
      <c r="G1938" s="22">
        <v>97087</v>
      </c>
      <c r="H1938" s="23" t="s">
        <v>210</v>
      </c>
      <c r="I1938" s="22" t="s">
        <v>45</v>
      </c>
      <c r="J1938" s="32"/>
      <c r="K1938" s="10"/>
      <c r="L1938" s="32"/>
      <c r="M1938" s="10"/>
      <c r="N1938" s="33"/>
      <c r="O1938" s="27">
        <f>SUM(O1939:O1953)</f>
        <v>597.19999999999993</v>
      </c>
      <c r="P1938" s="185"/>
      <c r="Q1938" s="185"/>
    </row>
    <row r="1939" spans="1:17" hidden="1" outlineLevel="1">
      <c r="E1939" s="59"/>
      <c r="F1939" s="60"/>
      <c r="G1939" s="34"/>
      <c r="H1939" s="30" t="s">
        <v>3677</v>
      </c>
      <c r="I1939" s="35"/>
      <c r="J1939" s="41"/>
      <c r="K1939" s="33"/>
      <c r="L1939" s="41"/>
      <c r="M1939" s="33"/>
      <c r="N1939" s="33">
        <v>293.02</v>
      </c>
      <c r="O1939" s="58">
        <f t="shared" ref="O1939:O1953" si="60">ROUND(PRODUCT(J1939:N1939),2)</f>
        <v>293.02</v>
      </c>
      <c r="P1939" s="185"/>
      <c r="Q1939" s="185"/>
    </row>
    <row r="1940" spans="1:17" hidden="1" outlineLevel="1">
      <c r="E1940" s="59"/>
      <c r="F1940" s="21"/>
      <c r="G1940" s="22"/>
      <c r="H1940" s="30" t="s">
        <v>3654</v>
      </c>
      <c r="I1940" s="24"/>
      <c r="J1940" s="41"/>
      <c r="K1940" s="33"/>
      <c r="L1940" s="41"/>
      <c r="M1940" s="33"/>
      <c r="N1940" s="33">
        <v>8.5299999999999994</v>
      </c>
      <c r="O1940" s="58">
        <f t="shared" si="60"/>
        <v>8.5299999999999994</v>
      </c>
      <c r="P1940" s="185"/>
      <c r="Q1940" s="185"/>
    </row>
    <row r="1941" spans="1:17" hidden="1" outlineLevel="1">
      <c r="E1941" s="59"/>
      <c r="F1941" s="60"/>
      <c r="G1941" s="34"/>
      <c r="H1941" s="30" t="s">
        <v>3609</v>
      </c>
      <c r="I1941" s="35"/>
      <c r="J1941" s="41"/>
      <c r="K1941" s="33"/>
      <c r="L1941" s="41"/>
      <c r="M1941" s="33"/>
      <c r="N1941" s="33">
        <f>10.39+4.2</f>
        <v>14.59</v>
      </c>
      <c r="O1941" s="58">
        <f t="shared" si="60"/>
        <v>14.59</v>
      </c>
      <c r="P1941" s="185"/>
      <c r="Q1941" s="185"/>
    </row>
    <row r="1942" spans="1:17" hidden="1" outlineLevel="1">
      <c r="E1942" s="59"/>
      <c r="F1942" s="60"/>
      <c r="G1942" s="34"/>
      <c r="H1942" s="30" t="s">
        <v>3610</v>
      </c>
      <c r="I1942" s="35"/>
      <c r="J1942" s="41"/>
      <c r="K1942" s="33"/>
      <c r="L1942" s="41"/>
      <c r="M1942" s="33"/>
      <c r="N1942" s="33">
        <v>59.37</v>
      </c>
      <c r="O1942" s="58">
        <f t="shared" si="60"/>
        <v>59.37</v>
      </c>
      <c r="P1942" s="185"/>
      <c r="Q1942" s="185"/>
    </row>
    <row r="1943" spans="1:17" hidden="1" outlineLevel="1">
      <c r="E1943" s="59"/>
      <c r="F1943" s="60"/>
      <c r="G1943" s="34"/>
      <c r="H1943" s="30" t="s">
        <v>3611</v>
      </c>
      <c r="I1943" s="35"/>
      <c r="J1943" s="41"/>
      <c r="K1943" s="33"/>
      <c r="L1943" s="41"/>
      <c r="M1943" s="33"/>
      <c r="N1943" s="33">
        <v>13.14</v>
      </c>
      <c r="O1943" s="58">
        <f t="shared" si="60"/>
        <v>13.14</v>
      </c>
      <c r="P1943" s="185"/>
      <c r="Q1943" s="185"/>
    </row>
    <row r="1944" spans="1:17" hidden="1" outlineLevel="1">
      <c r="E1944" s="59"/>
      <c r="F1944" s="60"/>
      <c r="G1944" s="34"/>
      <c r="H1944" s="30" t="s">
        <v>3612</v>
      </c>
      <c r="I1944" s="35"/>
      <c r="J1944" s="41"/>
      <c r="K1944" s="33"/>
      <c r="L1944" s="41"/>
      <c r="M1944" s="33"/>
      <c r="N1944" s="33">
        <v>24.54</v>
      </c>
      <c r="O1944" s="58">
        <f t="shared" si="60"/>
        <v>24.54</v>
      </c>
      <c r="P1944" s="185"/>
      <c r="Q1944" s="185"/>
    </row>
    <row r="1945" spans="1:17" hidden="1" outlineLevel="1">
      <c r="E1945" s="59"/>
      <c r="F1945" s="60"/>
      <c r="G1945" s="34"/>
      <c r="H1945" s="30" t="s">
        <v>3613</v>
      </c>
      <c r="I1945" s="35"/>
      <c r="J1945" s="41"/>
      <c r="K1945" s="33"/>
      <c r="L1945" s="41"/>
      <c r="M1945" s="33"/>
      <c r="N1945" s="33">
        <v>21.15</v>
      </c>
      <c r="O1945" s="58">
        <f t="shared" si="60"/>
        <v>21.15</v>
      </c>
      <c r="P1945" s="185"/>
      <c r="Q1945" s="185"/>
    </row>
    <row r="1946" spans="1:17" hidden="1" outlineLevel="1">
      <c r="E1946" s="59"/>
      <c r="F1946" s="60"/>
      <c r="G1946" s="34"/>
      <c r="H1946" s="30" t="s">
        <v>3614</v>
      </c>
      <c r="I1946" s="35"/>
      <c r="J1946" s="41"/>
      <c r="K1946" s="33"/>
      <c r="L1946" s="41"/>
      <c r="M1946" s="33"/>
      <c r="N1946" s="33">
        <f>2.17*2</f>
        <v>4.34</v>
      </c>
      <c r="O1946" s="58">
        <f t="shared" si="60"/>
        <v>4.34</v>
      </c>
      <c r="P1946" s="185"/>
      <c r="Q1946" s="185"/>
    </row>
    <row r="1947" spans="1:17" hidden="1" outlineLevel="1">
      <c r="E1947" s="59"/>
      <c r="F1947" s="60"/>
      <c r="G1947" s="34"/>
      <c r="H1947" s="30" t="s">
        <v>3615</v>
      </c>
      <c r="I1947" s="35"/>
      <c r="J1947" s="41"/>
      <c r="K1947" s="33"/>
      <c r="L1947" s="41"/>
      <c r="M1947" s="33"/>
      <c r="N1947" s="33">
        <v>7.99</v>
      </c>
      <c r="O1947" s="58">
        <f t="shared" si="60"/>
        <v>7.99</v>
      </c>
      <c r="P1947" s="185"/>
      <c r="Q1947" s="185"/>
    </row>
    <row r="1948" spans="1:17" hidden="1" outlineLevel="1">
      <c r="E1948" s="59"/>
      <c r="F1948" s="60"/>
      <c r="G1948" s="34"/>
      <c r="H1948" s="30" t="s">
        <v>3616</v>
      </c>
      <c r="I1948" s="35"/>
      <c r="J1948" s="41"/>
      <c r="K1948" s="33"/>
      <c r="L1948" s="41"/>
      <c r="M1948" s="33"/>
      <c r="N1948" s="33">
        <f>8.18+3.13</f>
        <v>11.309999999999999</v>
      </c>
      <c r="O1948" s="58">
        <f t="shared" si="60"/>
        <v>11.31</v>
      </c>
      <c r="P1948" s="185"/>
      <c r="Q1948" s="185"/>
    </row>
    <row r="1949" spans="1:17" hidden="1" outlineLevel="1">
      <c r="E1949" s="59"/>
      <c r="F1949" s="60"/>
      <c r="G1949" s="34"/>
      <c r="H1949" s="30" t="s">
        <v>3617</v>
      </c>
      <c r="I1949" s="35"/>
      <c r="J1949" s="41"/>
      <c r="K1949" s="33"/>
      <c r="L1949" s="41"/>
      <c r="M1949" s="33"/>
      <c r="N1949" s="33">
        <v>13.77</v>
      </c>
      <c r="O1949" s="58">
        <f t="shared" si="60"/>
        <v>13.77</v>
      </c>
      <c r="P1949" s="185"/>
      <c r="Q1949" s="185"/>
    </row>
    <row r="1950" spans="1:17" hidden="1" outlineLevel="1">
      <c r="E1950" s="59"/>
      <c r="F1950" s="60"/>
      <c r="G1950" s="34"/>
      <c r="H1950" s="30" t="s">
        <v>3655</v>
      </c>
      <c r="I1950" s="35"/>
      <c r="J1950" s="41"/>
      <c r="K1950" s="33"/>
      <c r="L1950" s="41"/>
      <c r="M1950" s="33"/>
      <c r="N1950" s="33">
        <v>30.5</v>
      </c>
      <c r="O1950" s="58">
        <f t="shared" si="60"/>
        <v>30.5</v>
      </c>
      <c r="P1950" s="185"/>
      <c r="Q1950" s="185"/>
    </row>
    <row r="1951" spans="1:17" hidden="1" outlineLevel="1">
      <c r="E1951" s="59"/>
      <c r="F1951" s="60"/>
      <c r="G1951" s="34"/>
      <c r="H1951" s="30" t="s">
        <v>3619</v>
      </c>
      <c r="I1951" s="35"/>
      <c r="J1951" s="41"/>
      <c r="K1951" s="33"/>
      <c r="L1951" s="41"/>
      <c r="M1951" s="33"/>
      <c r="N1951" s="33">
        <f>20.24+19.71</f>
        <v>39.950000000000003</v>
      </c>
      <c r="O1951" s="58">
        <f t="shared" si="60"/>
        <v>39.950000000000003</v>
      </c>
      <c r="P1951" s="185"/>
      <c r="Q1951" s="185"/>
    </row>
    <row r="1952" spans="1:17" hidden="1" outlineLevel="1">
      <c r="E1952" s="59"/>
      <c r="F1952" s="60"/>
      <c r="G1952" s="34"/>
      <c r="H1952" s="30" t="s">
        <v>3620</v>
      </c>
      <c r="I1952" s="35"/>
      <c r="J1952" s="41"/>
      <c r="K1952" s="33"/>
      <c r="L1952" s="41"/>
      <c r="M1952" s="33"/>
      <c r="N1952" s="33">
        <v>50.95</v>
      </c>
      <c r="O1952" s="58">
        <f t="shared" si="60"/>
        <v>50.95</v>
      </c>
      <c r="P1952" s="185"/>
      <c r="Q1952" s="185"/>
    </row>
    <row r="1953" spans="1:17" hidden="1" outlineLevel="1">
      <c r="E1953" s="59"/>
      <c r="F1953" s="60"/>
      <c r="G1953" s="34"/>
      <c r="H1953" s="30" t="s">
        <v>3621</v>
      </c>
      <c r="I1953" s="35"/>
      <c r="J1953" s="41"/>
      <c r="K1953" s="33"/>
      <c r="L1953" s="41"/>
      <c r="M1953" s="33"/>
      <c r="N1953" s="33">
        <v>4.05</v>
      </c>
      <c r="O1953" s="58">
        <f t="shared" si="60"/>
        <v>4.05</v>
      </c>
      <c r="P1953" s="185"/>
      <c r="Q1953" s="185"/>
    </row>
    <row r="1954" spans="1:17" ht="30" hidden="1" outlineLevel="1">
      <c r="A1954" s="2">
        <v>6</v>
      </c>
      <c r="B1954" s="2">
        <v>6</v>
      </c>
      <c r="C1954" s="2">
        <f>1+C1938</f>
        <v>3</v>
      </c>
      <c r="E1954" s="20" t="str">
        <f>CONCATENATE(A1954,".",B1954,".",C1954)</f>
        <v>6.6.3</v>
      </c>
      <c r="F1954" s="21" t="s">
        <v>3679</v>
      </c>
      <c r="G1954" s="22" t="s">
        <v>212</v>
      </c>
      <c r="H1954" s="23" t="s">
        <v>213</v>
      </c>
      <c r="I1954" s="24" t="s">
        <v>45</v>
      </c>
      <c r="J1954" s="32"/>
      <c r="K1954" s="10"/>
      <c r="L1954" s="32"/>
      <c r="M1954" s="10"/>
      <c r="N1954" s="33"/>
      <c r="O1954" s="11">
        <f>SUM(O1955:O1969)</f>
        <v>597.19999999999993</v>
      </c>
      <c r="P1954" s="185"/>
      <c r="Q1954" s="185"/>
    </row>
    <row r="1955" spans="1:17" hidden="1" outlineLevel="1">
      <c r="E1955" s="59"/>
      <c r="F1955" s="60"/>
      <c r="G1955" s="34"/>
      <c r="H1955" s="30" t="s">
        <v>3677</v>
      </c>
      <c r="I1955" s="35"/>
      <c r="J1955" s="41"/>
      <c r="K1955" s="33"/>
      <c r="L1955" s="41"/>
      <c r="M1955" s="33"/>
      <c r="N1955" s="33">
        <v>293.02</v>
      </c>
      <c r="O1955" s="58">
        <f t="shared" ref="O1955:O1969" si="61">ROUND(PRODUCT(J1955:N1955),2)</f>
        <v>293.02</v>
      </c>
      <c r="P1955" s="185"/>
      <c r="Q1955" s="185"/>
    </row>
    <row r="1956" spans="1:17" hidden="1" outlineLevel="1">
      <c r="E1956" s="59"/>
      <c r="F1956" s="21"/>
      <c r="G1956" s="22"/>
      <c r="H1956" s="30" t="s">
        <v>3654</v>
      </c>
      <c r="I1956" s="24"/>
      <c r="J1956" s="41"/>
      <c r="K1956" s="33"/>
      <c r="L1956" s="41"/>
      <c r="M1956" s="33"/>
      <c r="N1956" s="33">
        <v>8.5299999999999994</v>
      </c>
      <c r="O1956" s="58">
        <f t="shared" si="61"/>
        <v>8.5299999999999994</v>
      </c>
      <c r="P1956" s="185"/>
      <c r="Q1956" s="185"/>
    </row>
    <row r="1957" spans="1:17" hidden="1" outlineLevel="1">
      <c r="E1957" s="59"/>
      <c r="F1957" s="60"/>
      <c r="G1957" s="34"/>
      <c r="H1957" s="30" t="s">
        <v>3609</v>
      </c>
      <c r="I1957" s="35"/>
      <c r="J1957" s="41"/>
      <c r="K1957" s="33"/>
      <c r="L1957" s="41"/>
      <c r="M1957" s="33"/>
      <c r="N1957" s="33">
        <f>10.39+4.2</f>
        <v>14.59</v>
      </c>
      <c r="O1957" s="58">
        <f t="shared" si="61"/>
        <v>14.59</v>
      </c>
      <c r="P1957" s="185"/>
      <c r="Q1957" s="185"/>
    </row>
    <row r="1958" spans="1:17" hidden="1" outlineLevel="1">
      <c r="E1958" s="59"/>
      <c r="F1958" s="60"/>
      <c r="G1958" s="34"/>
      <c r="H1958" s="30" t="s">
        <v>3610</v>
      </c>
      <c r="I1958" s="35"/>
      <c r="J1958" s="41"/>
      <c r="K1958" s="33"/>
      <c r="L1958" s="41"/>
      <c r="M1958" s="33"/>
      <c r="N1958" s="33">
        <v>59.37</v>
      </c>
      <c r="O1958" s="58">
        <f t="shared" si="61"/>
        <v>59.37</v>
      </c>
      <c r="P1958" s="185"/>
      <c r="Q1958" s="185"/>
    </row>
    <row r="1959" spans="1:17" hidden="1" outlineLevel="1">
      <c r="E1959" s="59"/>
      <c r="F1959" s="60"/>
      <c r="G1959" s="34"/>
      <c r="H1959" s="30" t="s">
        <v>3611</v>
      </c>
      <c r="I1959" s="35"/>
      <c r="J1959" s="41"/>
      <c r="K1959" s="33"/>
      <c r="L1959" s="41"/>
      <c r="M1959" s="33"/>
      <c r="N1959" s="33">
        <v>13.14</v>
      </c>
      <c r="O1959" s="58">
        <f t="shared" si="61"/>
        <v>13.14</v>
      </c>
      <c r="P1959" s="185"/>
      <c r="Q1959" s="185"/>
    </row>
    <row r="1960" spans="1:17" hidden="1" outlineLevel="1">
      <c r="E1960" s="59"/>
      <c r="F1960" s="60"/>
      <c r="G1960" s="34"/>
      <c r="H1960" s="30" t="s">
        <v>3612</v>
      </c>
      <c r="I1960" s="35"/>
      <c r="J1960" s="41"/>
      <c r="K1960" s="33"/>
      <c r="L1960" s="41"/>
      <c r="M1960" s="33"/>
      <c r="N1960" s="33">
        <v>24.54</v>
      </c>
      <c r="O1960" s="58">
        <f t="shared" si="61"/>
        <v>24.54</v>
      </c>
      <c r="P1960" s="185"/>
      <c r="Q1960" s="185"/>
    </row>
    <row r="1961" spans="1:17" hidden="1" outlineLevel="1">
      <c r="E1961" s="59"/>
      <c r="F1961" s="60"/>
      <c r="G1961" s="34"/>
      <c r="H1961" s="30" t="s">
        <v>3613</v>
      </c>
      <c r="I1961" s="35"/>
      <c r="J1961" s="41"/>
      <c r="K1961" s="33"/>
      <c r="L1961" s="41"/>
      <c r="M1961" s="33"/>
      <c r="N1961" s="33">
        <v>21.15</v>
      </c>
      <c r="O1961" s="58">
        <f t="shared" si="61"/>
        <v>21.15</v>
      </c>
      <c r="P1961" s="185"/>
      <c r="Q1961" s="185"/>
    </row>
    <row r="1962" spans="1:17" hidden="1" outlineLevel="1">
      <c r="E1962" s="59"/>
      <c r="F1962" s="60"/>
      <c r="G1962" s="34"/>
      <c r="H1962" s="30" t="s">
        <v>3614</v>
      </c>
      <c r="I1962" s="35"/>
      <c r="J1962" s="41"/>
      <c r="K1962" s="33"/>
      <c r="L1962" s="41"/>
      <c r="M1962" s="33"/>
      <c r="N1962" s="33">
        <f>2.17*2</f>
        <v>4.34</v>
      </c>
      <c r="O1962" s="58">
        <f t="shared" si="61"/>
        <v>4.34</v>
      </c>
      <c r="P1962" s="185"/>
      <c r="Q1962" s="185"/>
    </row>
    <row r="1963" spans="1:17" hidden="1" outlineLevel="1">
      <c r="E1963" s="59"/>
      <c r="F1963" s="60"/>
      <c r="G1963" s="34"/>
      <c r="H1963" s="30" t="s">
        <v>3615</v>
      </c>
      <c r="I1963" s="35"/>
      <c r="J1963" s="41"/>
      <c r="K1963" s="33"/>
      <c r="L1963" s="41"/>
      <c r="M1963" s="33"/>
      <c r="N1963" s="33">
        <v>7.99</v>
      </c>
      <c r="O1963" s="58">
        <f t="shared" si="61"/>
        <v>7.99</v>
      </c>
      <c r="P1963" s="185"/>
      <c r="Q1963" s="185"/>
    </row>
    <row r="1964" spans="1:17" hidden="1" outlineLevel="1">
      <c r="E1964" s="59"/>
      <c r="F1964" s="60"/>
      <c r="G1964" s="34"/>
      <c r="H1964" s="30" t="s">
        <v>3616</v>
      </c>
      <c r="I1964" s="35"/>
      <c r="J1964" s="41"/>
      <c r="K1964" s="33"/>
      <c r="L1964" s="41"/>
      <c r="M1964" s="33"/>
      <c r="N1964" s="33">
        <f>8.18+3.13</f>
        <v>11.309999999999999</v>
      </c>
      <c r="O1964" s="58">
        <f t="shared" si="61"/>
        <v>11.31</v>
      </c>
      <c r="P1964" s="185"/>
      <c r="Q1964" s="185"/>
    </row>
    <row r="1965" spans="1:17" hidden="1" outlineLevel="1">
      <c r="E1965" s="59"/>
      <c r="F1965" s="60"/>
      <c r="G1965" s="34"/>
      <c r="H1965" s="30" t="s">
        <v>3617</v>
      </c>
      <c r="I1965" s="35"/>
      <c r="J1965" s="41"/>
      <c r="K1965" s="33"/>
      <c r="L1965" s="41"/>
      <c r="M1965" s="33"/>
      <c r="N1965" s="33">
        <v>13.77</v>
      </c>
      <c r="O1965" s="58">
        <f t="shared" si="61"/>
        <v>13.77</v>
      </c>
      <c r="P1965" s="185"/>
      <c r="Q1965" s="185"/>
    </row>
    <row r="1966" spans="1:17" hidden="1" outlineLevel="1">
      <c r="E1966" s="59"/>
      <c r="F1966" s="60"/>
      <c r="G1966" s="34"/>
      <c r="H1966" s="30" t="s">
        <v>3655</v>
      </c>
      <c r="I1966" s="35"/>
      <c r="J1966" s="41"/>
      <c r="K1966" s="33"/>
      <c r="L1966" s="41"/>
      <c r="M1966" s="33"/>
      <c r="N1966" s="33">
        <v>30.5</v>
      </c>
      <c r="O1966" s="58">
        <f t="shared" si="61"/>
        <v>30.5</v>
      </c>
      <c r="P1966" s="185"/>
      <c r="Q1966" s="185"/>
    </row>
    <row r="1967" spans="1:17" hidden="1" outlineLevel="1">
      <c r="E1967" s="59"/>
      <c r="F1967" s="60"/>
      <c r="G1967" s="34"/>
      <c r="H1967" s="30" t="s">
        <v>3619</v>
      </c>
      <c r="I1967" s="35"/>
      <c r="J1967" s="41"/>
      <c r="K1967" s="33"/>
      <c r="L1967" s="41"/>
      <c r="M1967" s="33"/>
      <c r="N1967" s="33">
        <f>20.24+19.71</f>
        <v>39.950000000000003</v>
      </c>
      <c r="O1967" s="58">
        <f t="shared" si="61"/>
        <v>39.950000000000003</v>
      </c>
      <c r="P1967" s="185"/>
      <c r="Q1967" s="185"/>
    </row>
    <row r="1968" spans="1:17" hidden="1" outlineLevel="1">
      <c r="E1968" s="59"/>
      <c r="F1968" s="60"/>
      <c r="G1968" s="34"/>
      <c r="H1968" s="30" t="s">
        <v>3620</v>
      </c>
      <c r="I1968" s="35"/>
      <c r="J1968" s="41"/>
      <c r="K1968" s="33"/>
      <c r="L1968" s="41"/>
      <c r="M1968" s="33"/>
      <c r="N1968" s="33">
        <v>50.95</v>
      </c>
      <c r="O1968" s="58">
        <f t="shared" si="61"/>
        <v>50.95</v>
      </c>
      <c r="P1968" s="185"/>
      <c r="Q1968" s="185"/>
    </row>
    <row r="1969" spans="1:17" hidden="1" outlineLevel="1">
      <c r="E1969" s="59"/>
      <c r="F1969" s="60"/>
      <c r="G1969" s="34"/>
      <c r="H1969" s="30" t="s">
        <v>3621</v>
      </c>
      <c r="I1969" s="35"/>
      <c r="J1969" s="41"/>
      <c r="K1969" s="33"/>
      <c r="L1969" s="41"/>
      <c r="M1969" s="33"/>
      <c r="N1969" s="33">
        <v>4.05</v>
      </c>
      <c r="O1969" s="58">
        <f t="shared" si="61"/>
        <v>4.05</v>
      </c>
      <c r="P1969" s="185"/>
      <c r="Q1969" s="185"/>
    </row>
    <row r="1970" spans="1:17" ht="45" hidden="1" outlineLevel="1">
      <c r="A1970" s="2">
        <v>6</v>
      </c>
      <c r="B1970" s="2">
        <v>6</v>
      </c>
      <c r="C1970" s="2" t="e">
        <f>1+#REF!</f>
        <v>#REF!</v>
      </c>
      <c r="E1970" s="20" t="e">
        <f>CONCATENATE(A1970,".",B1970,".",C1970)</f>
        <v>#REF!</v>
      </c>
      <c r="F1970" s="21" t="s">
        <v>3680</v>
      </c>
      <c r="G1970" s="22" t="s">
        <v>218</v>
      </c>
      <c r="H1970" s="23" t="s">
        <v>219</v>
      </c>
      <c r="I1970" s="24" t="s">
        <v>45</v>
      </c>
      <c r="J1970" s="32"/>
      <c r="K1970" s="10"/>
      <c r="L1970" s="32"/>
      <c r="M1970" s="10"/>
      <c r="N1970" s="33"/>
      <c r="O1970" s="11">
        <f>SUM(O1971:O1985)</f>
        <v>597.19999999999993</v>
      </c>
      <c r="P1970" s="185"/>
      <c r="Q1970" s="185"/>
    </row>
    <row r="1971" spans="1:17" hidden="1" outlineLevel="1">
      <c r="E1971" s="59"/>
      <c r="F1971" s="60"/>
      <c r="G1971" s="34"/>
      <c r="H1971" s="30" t="s">
        <v>3677</v>
      </c>
      <c r="I1971" s="35"/>
      <c r="J1971" s="41"/>
      <c r="K1971" s="33"/>
      <c r="L1971" s="41"/>
      <c r="M1971" s="33"/>
      <c r="N1971" s="33">
        <v>293.02</v>
      </c>
      <c r="O1971" s="58">
        <f t="shared" ref="O1971:O1985" si="62">ROUND(PRODUCT(J1971:N1971),2)</f>
        <v>293.02</v>
      </c>
      <c r="P1971" s="185"/>
      <c r="Q1971" s="185"/>
    </row>
    <row r="1972" spans="1:17" hidden="1" outlineLevel="1">
      <c r="E1972" s="59"/>
      <c r="F1972" s="21"/>
      <c r="G1972" s="22"/>
      <c r="H1972" s="30" t="s">
        <v>3654</v>
      </c>
      <c r="I1972" s="24"/>
      <c r="J1972" s="41"/>
      <c r="K1972" s="33"/>
      <c r="L1972" s="41"/>
      <c r="M1972" s="33"/>
      <c r="N1972" s="33">
        <v>8.5299999999999994</v>
      </c>
      <c r="O1972" s="58">
        <f t="shared" si="62"/>
        <v>8.5299999999999994</v>
      </c>
      <c r="P1972" s="185"/>
      <c r="Q1972" s="185"/>
    </row>
    <row r="1973" spans="1:17" hidden="1" outlineLevel="1">
      <c r="E1973" s="59"/>
      <c r="F1973" s="60"/>
      <c r="G1973" s="34"/>
      <c r="H1973" s="30" t="s">
        <v>3609</v>
      </c>
      <c r="I1973" s="35"/>
      <c r="J1973" s="41"/>
      <c r="K1973" s="33"/>
      <c r="L1973" s="41"/>
      <c r="M1973" s="33"/>
      <c r="N1973" s="33">
        <f>10.39+4.2</f>
        <v>14.59</v>
      </c>
      <c r="O1973" s="58">
        <f t="shared" si="62"/>
        <v>14.59</v>
      </c>
      <c r="P1973" s="185"/>
      <c r="Q1973" s="185"/>
    </row>
    <row r="1974" spans="1:17" hidden="1" outlineLevel="1">
      <c r="E1974" s="59"/>
      <c r="F1974" s="60"/>
      <c r="G1974" s="34"/>
      <c r="H1974" s="30" t="s">
        <v>3610</v>
      </c>
      <c r="I1974" s="35"/>
      <c r="J1974" s="41"/>
      <c r="K1974" s="33"/>
      <c r="L1974" s="41"/>
      <c r="M1974" s="33"/>
      <c r="N1974" s="33">
        <v>59.37</v>
      </c>
      <c r="O1974" s="58">
        <f t="shared" si="62"/>
        <v>59.37</v>
      </c>
      <c r="P1974" s="185"/>
      <c r="Q1974" s="185"/>
    </row>
    <row r="1975" spans="1:17" hidden="1" outlineLevel="1">
      <c r="E1975" s="59"/>
      <c r="F1975" s="60"/>
      <c r="G1975" s="34"/>
      <c r="H1975" s="30" t="s">
        <v>3611</v>
      </c>
      <c r="I1975" s="35"/>
      <c r="J1975" s="41"/>
      <c r="K1975" s="33"/>
      <c r="L1975" s="41"/>
      <c r="M1975" s="33"/>
      <c r="N1975" s="33">
        <v>13.14</v>
      </c>
      <c r="O1975" s="58">
        <f t="shared" si="62"/>
        <v>13.14</v>
      </c>
      <c r="P1975" s="185"/>
      <c r="Q1975" s="185"/>
    </row>
    <row r="1976" spans="1:17" hidden="1" outlineLevel="1">
      <c r="E1976" s="59"/>
      <c r="F1976" s="60"/>
      <c r="G1976" s="34"/>
      <c r="H1976" s="30" t="s">
        <v>3612</v>
      </c>
      <c r="I1976" s="35"/>
      <c r="J1976" s="41"/>
      <c r="K1976" s="33"/>
      <c r="L1976" s="41"/>
      <c r="M1976" s="33"/>
      <c r="N1976" s="33">
        <v>24.54</v>
      </c>
      <c r="O1976" s="58">
        <f t="shared" si="62"/>
        <v>24.54</v>
      </c>
      <c r="P1976" s="185"/>
      <c r="Q1976" s="185"/>
    </row>
    <row r="1977" spans="1:17" hidden="1" outlineLevel="1">
      <c r="E1977" s="59"/>
      <c r="F1977" s="60"/>
      <c r="G1977" s="34"/>
      <c r="H1977" s="30" t="s">
        <v>3613</v>
      </c>
      <c r="I1977" s="35"/>
      <c r="J1977" s="41"/>
      <c r="K1977" s="33"/>
      <c r="L1977" s="41"/>
      <c r="M1977" s="33"/>
      <c r="N1977" s="33">
        <v>21.15</v>
      </c>
      <c r="O1977" s="58">
        <f t="shared" si="62"/>
        <v>21.15</v>
      </c>
      <c r="P1977" s="185"/>
      <c r="Q1977" s="185"/>
    </row>
    <row r="1978" spans="1:17" hidden="1" outlineLevel="1">
      <c r="E1978" s="59"/>
      <c r="F1978" s="60"/>
      <c r="G1978" s="34"/>
      <c r="H1978" s="30" t="s">
        <v>3614</v>
      </c>
      <c r="I1978" s="35"/>
      <c r="J1978" s="41"/>
      <c r="K1978" s="33"/>
      <c r="L1978" s="41"/>
      <c r="M1978" s="33"/>
      <c r="N1978" s="33">
        <f>2.17*2</f>
        <v>4.34</v>
      </c>
      <c r="O1978" s="58">
        <f t="shared" si="62"/>
        <v>4.34</v>
      </c>
      <c r="P1978" s="185"/>
      <c r="Q1978" s="185"/>
    </row>
    <row r="1979" spans="1:17" hidden="1" outlineLevel="1">
      <c r="E1979" s="59"/>
      <c r="F1979" s="60"/>
      <c r="G1979" s="34"/>
      <c r="H1979" s="30" t="s">
        <v>3615</v>
      </c>
      <c r="I1979" s="35"/>
      <c r="J1979" s="41"/>
      <c r="K1979" s="33"/>
      <c r="L1979" s="41"/>
      <c r="M1979" s="33"/>
      <c r="N1979" s="33">
        <v>7.99</v>
      </c>
      <c r="O1979" s="58">
        <f t="shared" si="62"/>
        <v>7.99</v>
      </c>
      <c r="P1979" s="185"/>
      <c r="Q1979" s="185"/>
    </row>
    <row r="1980" spans="1:17" hidden="1" outlineLevel="1">
      <c r="E1980" s="59"/>
      <c r="F1980" s="60"/>
      <c r="G1980" s="34"/>
      <c r="H1980" s="30" t="s">
        <v>3616</v>
      </c>
      <c r="I1980" s="35"/>
      <c r="J1980" s="41"/>
      <c r="K1980" s="33"/>
      <c r="L1980" s="41"/>
      <c r="M1980" s="33"/>
      <c r="N1980" s="33">
        <f>8.18+3.13</f>
        <v>11.309999999999999</v>
      </c>
      <c r="O1980" s="58">
        <f t="shared" si="62"/>
        <v>11.31</v>
      </c>
      <c r="P1980" s="185"/>
      <c r="Q1980" s="185"/>
    </row>
    <row r="1981" spans="1:17" hidden="1" outlineLevel="1">
      <c r="E1981" s="59"/>
      <c r="F1981" s="60"/>
      <c r="G1981" s="34"/>
      <c r="H1981" s="30" t="s">
        <v>3617</v>
      </c>
      <c r="I1981" s="35"/>
      <c r="J1981" s="41"/>
      <c r="K1981" s="33"/>
      <c r="L1981" s="41"/>
      <c r="M1981" s="33"/>
      <c r="N1981" s="33">
        <v>13.77</v>
      </c>
      <c r="O1981" s="58">
        <f t="shared" si="62"/>
        <v>13.77</v>
      </c>
      <c r="P1981" s="185"/>
      <c r="Q1981" s="185"/>
    </row>
    <row r="1982" spans="1:17" hidden="1" outlineLevel="1">
      <c r="E1982" s="59"/>
      <c r="F1982" s="60"/>
      <c r="G1982" s="34"/>
      <c r="H1982" s="30" t="s">
        <v>3655</v>
      </c>
      <c r="I1982" s="35"/>
      <c r="J1982" s="41"/>
      <c r="K1982" s="33"/>
      <c r="L1982" s="41"/>
      <c r="M1982" s="33"/>
      <c r="N1982" s="33">
        <v>30.5</v>
      </c>
      <c r="O1982" s="58">
        <f t="shared" si="62"/>
        <v>30.5</v>
      </c>
      <c r="P1982" s="185"/>
      <c r="Q1982" s="185"/>
    </row>
    <row r="1983" spans="1:17" hidden="1" outlineLevel="1">
      <c r="E1983" s="59"/>
      <c r="F1983" s="60"/>
      <c r="G1983" s="34"/>
      <c r="H1983" s="30" t="s">
        <v>3619</v>
      </c>
      <c r="I1983" s="35"/>
      <c r="J1983" s="41"/>
      <c r="K1983" s="33"/>
      <c r="L1983" s="41"/>
      <c r="M1983" s="33"/>
      <c r="N1983" s="33">
        <f>20.24+19.71</f>
        <v>39.950000000000003</v>
      </c>
      <c r="O1983" s="58">
        <f t="shared" si="62"/>
        <v>39.950000000000003</v>
      </c>
      <c r="P1983" s="185"/>
      <c r="Q1983" s="185"/>
    </row>
    <row r="1984" spans="1:17" hidden="1" outlineLevel="1">
      <c r="E1984" s="59"/>
      <c r="F1984" s="60"/>
      <c r="G1984" s="34"/>
      <c r="H1984" s="30" t="s">
        <v>3620</v>
      </c>
      <c r="I1984" s="35"/>
      <c r="J1984" s="41"/>
      <c r="K1984" s="33"/>
      <c r="L1984" s="41"/>
      <c r="M1984" s="33"/>
      <c r="N1984" s="33">
        <v>50.95</v>
      </c>
      <c r="O1984" s="58">
        <f t="shared" si="62"/>
        <v>50.95</v>
      </c>
      <c r="P1984" s="185"/>
      <c r="Q1984" s="185"/>
    </row>
    <row r="1985" spans="1:17" hidden="1" outlineLevel="1">
      <c r="E1985" s="59"/>
      <c r="F1985" s="60"/>
      <c r="G1985" s="34"/>
      <c r="H1985" s="30" t="s">
        <v>3621</v>
      </c>
      <c r="I1985" s="35"/>
      <c r="J1985" s="41"/>
      <c r="K1985" s="33"/>
      <c r="L1985" s="41"/>
      <c r="M1985" s="33"/>
      <c r="N1985" s="33">
        <v>4.05</v>
      </c>
      <c r="O1985" s="58">
        <f t="shared" si="62"/>
        <v>4.05</v>
      </c>
      <c r="P1985" s="185"/>
      <c r="Q1985" s="185"/>
    </row>
    <row r="1986" spans="1:17" ht="45" hidden="1" outlineLevel="1">
      <c r="A1986" s="2">
        <v>6</v>
      </c>
      <c r="B1986" s="2">
        <v>6</v>
      </c>
      <c r="C1986" s="2" t="e">
        <f>1+C1970</f>
        <v>#REF!</v>
      </c>
      <c r="E1986" s="20" t="e">
        <f>CONCATENATE(A1986,".",B1986,".",C1986)</f>
        <v>#REF!</v>
      </c>
      <c r="F1986" s="21" t="s">
        <v>3681</v>
      </c>
      <c r="G1986" s="22">
        <v>87256</v>
      </c>
      <c r="H1986" s="23" t="s">
        <v>225</v>
      </c>
      <c r="I1986" s="24" t="s">
        <v>45</v>
      </c>
      <c r="J1986" s="32"/>
      <c r="K1986" s="10"/>
      <c r="L1986" s="32"/>
      <c r="M1986" s="10"/>
      <c r="N1986" s="33"/>
      <c r="O1986" s="11">
        <f>SUM(O1987:O1988)</f>
        <v>16.52</v>
      </c>
      <c r="P1986" s="185"/>
      <c r="Q1986" s="185"/>
    </row>
    <row r="1987" spans="1:17" hidden="1" outlineLevel="1">
      <c r="E1987" s="59"/>
      <c r="F1987" s="60"/>
      <c r="G1987" s="34"/>
      <c r="H1987" s="30" t="s">
        <v>3654</v>
      </c>
      <c r="I1987" s="24"/>
      <c r="J1987" s="41"/>
      <c r="K1987" s="33"/>
      <c r="L1987" s="41"/>
      <c r="M1987" s="33"/>
      <c r="N1987" s="33">
        <v>8.5299999999999994</v>
      </c>
      <c r="O1987" s="58">
        <f>ROUND(PRODUCT(J1987:N1987),2)</f>
        <v>8.5299999999999994</v>
      </c>
      <c r="P1987" s="185"/>
      <c r="Q1987" s="185"/>
    </row>
    <row r="1988" spans="1:17" hidden="1" outlineLevel="1">
      <c r="E1988" s="59"/>
      <c r="F1988" s="60"/>
      <c r="G1988" s="34"/>
      <c r="H1988" s="30" t="s">
        <v>3615</v>
      </c>
      <c r="I1988" s="35"/>
      <c r="J1988" s="41"/>
      <c r="K1988" s="33"/>
      <c r="L1988" s="41"/>
      <c r="M1988" s="33"/>
      <c r="N1988" s="33">
        <v>7.99</v>
      </c>
      <c r="O1988" s="58">
        <f>ROUND(PRODUCT(J1988:N1988),2)</f>
        <v>7.99</v>
      </c>
      <c r="P1988" s="185"/>
      <c r="Q1988" s="185"/>
    </row>
    <row r="1989" spans="1:17" ht="45" hidden="1" outlineLevel="1">
      <c r="E1989" s="59"/>
      <c r="F1989" s="21" t="s">
        <v>3682</v>
      </c>
      <c r="G1989" s="22">
        <v>87255</v>
      </c>
      <c r="H1989" s="23" t="s">
        <v>222</v>
      </c>
      <c r="I1989" s="24" t="s">
        <v>45</v>
      </c>
      <c r="J1989" s="32"/>
      <c r="K1989" s="10"/>
      <c r="L1989" s="32"/>
      <c r="M1989" s="10"/>
      <c r="N1989" s="33"/>
      <c r="O1989" s="11">
        <f>SUM(O1990:O1991)</f>
        <v>8.39</v>
      </c>
      <c r="P1989" s="185"/>
      <c r="Q1989" s="185"/>
    </row>
    <row r="1990" spans="1:17" hidden="1" outlineLevel="1">
      <c r="E1990" s="59"/>
      <c r="F1990" s="60"/>
      <c r="G1990" s="34"/>
      <c r="H1990" s="30" t="s">
        <v>3614</v>
      </c>
      <c r="I1990" s="35"/>
      <c r="J1990" s="41"/>
      <c r="K1990" s="33"/>
      <c r="L1990" s="41"/>
      <c r="M1990" s="33"/>
      <c r="N1990" s="33">
        <f>2.17*2</f>
        <v>4.34</v>
      </c>
      <c r="O1990" s="58">
        <f>ROUND(PRODUCT(J1990:N1990),2)</f>
        <v>4.34</v>
      </c>
      <c r="P1990" s="185"/>
      <c r="Q1990" s="185"/>
    </row>
    <row r="1991" spans="1:17" hidden="1" outlineLevel="1">
      <c r="E1991" s="59"/>
      <c r="F1991" s="60"/>
      <c r="G1991" s="34"/>
      <c r="H1991" s="30" t="s">
        <v>3621</v>
      </c>
      <c r="I1991" s="35"/>
      <c r="J1991" s="41"/>
      <c r="K1991" s="33"/>
      <c r="L1991" s="41"/>
      <c r="M1991" s="33"/>
      <c r="N1991" s="33">
        <v>4.05</v>
      </c>
      <c r="O1991" s="58">
        <f>ROUND(PRODUCT(J1991:N1991),2)</f>
        <v>4.05</v>
      </c>
      <c r="P1991" s="185"/>
      <c r="Q1991" s="185"/>
    </row>
    <row r="1992" spans="1:17" ht="45" hidden="1" outlineLevel="1">
      <c r="E1992" s="59"/>
      <c r="F1992" s="21" t="s">
        <v>3683</v>
      </c>
      <c r="G1992" s="22">
        <v>87257</v>
      </c>
      <c r="H1992" s="23" t="s">
        <v>1007</v>
      </c>
      <c r="I1992" s="24" t="s">
        <v>45</v>
      </c>
      <c r="J1992" s="32"/>
      <c r="K1992" s="10"/>
      <c r="L1992" s="32"/>
      <c r="M1992" s="10"/>
      <c r="N1992" s="33"/>
      <c r="O1992" s="11">
        <f>SUM(O1993:O2001)</f>
        <v>240.38000000000002</v>
      </c>
      <c r="P1992" s="185"/>
      <c r="Q1992" s="185"/>
    </row>
    <row r="1993" spans="1:17" hidden="1" outlineLevel="1">
      <c r="E1993" s="59"/>
      <c r="F1993" s="60"/>
      <c r="G1993" s="34"/>
      <c r="H1993" s="30" t="s">
        <v>3610</v>
      </c>
      <c r="I1993" s="35"/>
      <c r="J1993" s="41"/>
      <c r="K1993" s="33"/>
      <c r="L1993" s="41"/>
      <c r="M1993" s="33"/>
      <c r="N1993" s="33">
        <v>59.37</v>
      </c>
      <c r="O1993" s="58">
        <f t="shared" ref="O1993:O2001" si="63">ROUND(PRODUCT(J1993:N1993),2)</f>
        <v>59.37</v>
      </c>
      <c r="P1993" s="185"/>
      <c r="Q1993" s="185"/>
    </row>
    <row r="1994" spans="1:17" hidden="1" outlineLevel="1">
      <c r="E1994" s="59"/>
      <c r="F1994" s="60"/>
      <c r="G1994" s="34"/>
      <c r="H1994" s="30" t="s">
        <v>3611</v>
      </c>
      <c r="I1994" s="35"/>
      <c r="J1994" s="41"/>
      <c r="K1994" s="33"/>
      <c r="L1994" s="41"/>
      <c r="M1994" s="33"/>
      <c r="N1994" s="33">
        <v>13.14</v>
      </c>
      <c r="O1994" s="58">
        <f t="shared" si="63"/>
        <v>13.14</v>
      </c>
      <c r="P1994" s="185"/>
      <c r="Q1994" s="185"/>
    </row>
    <row r="1995" spans="1:17" hidden="1" outlineLevel="1">
      <c r="E1995" s="59"/>
      <c r="F1995" s="60"/>
      <c r="G1995" s="34"/>
      <c r="H1995" s="30" t="s">
        <v>3612</v>
      </c>
      <c r="I1995" s="35"/>
      <c r="J1995" s="41"/>
      <c r="K1995" s="33"/>
      <c r="L1995" s="41"/>
      <c r="M1995" s="33"/>
      <c r="N1995" s="33">
        <v>24.54</v>
      </c>
      <c r="O1995" s="58">
        <f t="shared" si="63"/>
        <v>24.54</v>
      </c>
      <c r="P1995" s="185"/>
      <c r="Q1995" s="185"/>
    </row>
    <row r="1996" spans="1:17" hidden="1" outlineLevel="1">
      <c r="E1996" s="59"/>
      <c r="F1996" s="60"/>
      <c r="G1996" s="34"/>
      <c r="H1996" s="30" t="s">
        <v>3613</v>
      </c>
      <c r="I1996" s="35"/>
      <c r="J1996" s="41"/>
      <c r="K1996" s="33"/>
      <c r="L1996" s="41"/>
      <c r="M1996" s="33"/>
      <c r="N1996" s="33">
        <v>21.15</v>
      </c>
      <c r="O1996" s="58">
        <f t="shared" si="63"/>
        <v>21.15</v>
      </c>
      <c r="P1996" s="185"/>
      <c r="Q1996" s="185"/>
    </row>
    <row r="1997" spans="1:17" hidden="1" outlineLevel="1">
      <c r="E1997" s="59"/>
      <c r="F1997" s="60"/>
      <c r="G1997" s="34"/>
      <c r="H1997" s="30" t="s">
        <v>3616</v>
      </c>
      <c r="I1997" s="35"/>
      <c r="J1997" s="41"/>
      <c r="K1997" s="33"/>
      <c r="L1997" s="41"/>
      <c r="M1997" s="33"/>
      <c r="N1997" s="33">
        <f>8.18+3.13</f>
        <v>11.309999999999999</v>
      </c>
      <c r="O1997" s="58">
        <f t="shared" si="63"/>
        <v>11.31</v>
      </c>
      <c r="P1997" s="185"/>
      <c r="Q1997" s="185"/>
    </row>
    <row r="1998" spans="1:17" hidden="1" outlineLevel="1">
      <c r="E1998" s="59"/>
      <c r="F1998" s="60"/>
      <c r="G1998" s="34"/>
      <c r="H1998" s="30" t="s">
        <v>3617</v>
      </c>
      <c r="I1998" s="35"/>
      <c r="J1998" s="41"/>
      <c r="K1998" s="33"/>
      <c r="L1998" s="41"/>
      <c r="M1998" s="33"/>
      <c r="N1998" s="33">
        <v>13.77</v>
      </c>
      <c r="O1998" s="58">
        <f t="shared" si="63"/>
        <v>13.77</v>
      </c>
      <c r="P1998" s="185"/>
      <c r="Q1998" s="185"/>
    </row>
    <row r="1999" spans="1:17" hidden="1" outlineLevel="1">
      <c r="E1999" s="59"/>
      <c r="F1999" s="60"/>
      <c r="G1999" s="34"/>
      <c r="H1999" s="30" t="s">
        <v>3655</v>
      </c>
      <c r="I1999" s="35"/>
      <c r="J1999" s="41"/>
      <c r="K1999" s="33"/>
      <c r="L1999" s="41"/>
      <c r="M1999" s="33"/>
      <c r="N1999" s="33">
        <v>30.5</v>
      </c>
      <c r="O1999" s="58">
        <f t="shared" si="63"/>
        <v>30.5</v>
      </c>
      <c r="P1999" s="185"/>
      <c r="Q1999" s="185"/>
    </row>
    <row r="2000" spans="1:17" hidden="1" outlineLevel="1">
      <c r="E2000" s="59"/>
      <c r="F2000" s="60"/>
      <c r="G2000" s="34"/>
      <c r="H2000" s="30" t="s">
        <v>3619</v>
      </c>
      <c r="I2000" s="35"/>
      <c r="J2000" s="41"/>
      <c r="K2000" s="33"/>
      <c r="L2000" s="41"/>
      <c r="M2000" s="33"/>
      <c r="N2000" s="33">
        <f>20.24+19.71</f>
        <v>39.950000000000003</v>
      </c>
      <c r="O2000" s="58">
        <f t="shared" si="63"/>
        <v>39.950000000000003</v>
      </c>
      <c r="P2000" s="185"/>
      <c r="Q2000" s="185"/>
    </row>
    <row r="2001" spans="1:17" hidden="1" outlineLevel="1">
      <c r="E2001" s="59"/>
      <c r="F2001" s="60"/>
      <c r="G2001" s="34"/>
      <c r="H2001" s="30" t="s">
        <v>3620</v>
      </c>
      <c r="I2001" s="35"/>
      <c r="J2001" s="41"/>
      <c r="K2001" s="33"/>
      <c r="L2001" s="41"/>
      <c r="M2001" s="33"/>
      <c r="N2001" s="33">
        <f>50.95-24.3</f>
        <v>26.650000000000002</v>
      </c>
      <c r="O2001" s="58">
        <f t="shared" si="63"/>
        <v>26.65</v>
      </c>
      <c r="P2001" s="185"/>
      <c r="Q2001" s="185"/>
    </row>
    <row r="2002" spans="1:17" ht="60" hidden="1" outlineLevel="1">
      <c r="A2002" s="2">
        <v>6</v>
      </c>
      <c r="B2002" s="2">
        <v>6</v>
      </c>
      <c r="C2002" s="2" t="e">
        <f>1+C1986</f>
        <v>#REF!</v>
      </c>
      <c r="E2002" s="20" t="e">
        <f>CONCATENATE(A2002,".",B2002,".",C2002)</f>
        <v>#REF!</v>
      </c>
      <c r="F2002" s="21" t="s">
        <v>3684</v>
      </c>
      <c r="G2002" s="22">
        <v>104162</v>
      </c>
      <c r="H2002" s="23" t="s">
        <v>231</v>
      </c>
      <c r="I2002" s="24" t="s">
        <v>45</v>
      </c>
      <c r="J2002" s="32"/>
      <c r="K2002" s="10"/>
      <c r="L2002" s="32"/>
      <c r="M2002" s="10"/>
      <c r="N2002" s="33"/>
      <c r="O2002" s="11">
        <f>SUM(O2003:O2003)</f>
        <v>293.02</v>
      </c>
      <c r="P2002" s="185"/>
      <c r="Q2002" s="185"/>
    </row>
    <row r="2003" spans="1:17" hidden="1" outlineLevel="1">
      <c r="E2003" s="59"/>
      <c r="F2003" s="60"/>
      <c r="G2003" s="34"/>
      <c r="H2003" s="30" t="s">
        <v>3677</v>
      </c>
      <c r="I2003" s="35"/>
      <c r="J2003" s="41"/>
      <c r="K2003" s="33"/>
      <c r="L2003" s="41"/>
      <c r="M2003" s="33"/>
      <c r="N2003" s="33">
        <v>293.02</v>
      </c>
      <c r="O2003" s="58">
        <f>ROUND(PRODUCT(J2003:N2003),2)</f>
        <v>293.02</v>
      </c>
      <c r="P2003" s="185"/>
      <c r="Q2003" s="185"/>
    </row>
    <row r="2004" spans="1:17" hidden="1" outlineLevel="1">
      <c r="A2004" s="2">
        <v>6</v>
      </c>
      <c r="B2004" s="2">
        <v>6</v>
      </c>
      <c r="C2004" s="2" t="e">
        <f>1+C2002</f>
        <v>#REF!</v>
      </c>
      <c r="E2004" s="20" t="e">
        <f>CONCATENATE(A2004,".",B2004,".",C2004)</f>
        <v>#REF!</v>
      </c>
      <c r="F2004" s="21" t="s">
        <v>3685</v>
      </c>
      <c r="G2004" s="22" t="s">
        <v>236</v>
      </c>
      <c r="H2004" s="23" t="s">
        <v>237</v>
      </c>
      <c r="I2004" s="24" t="s">
        <v>144</v>
      </c>
      <c r="J2004" s="32"/>
      <c r="K2004" s="10"/>
      <c r="L2004" s="32"/>
      <c r="M2004" s="10"/>
      <c r="N2004" s="33"/>
      <c r="O2004" s="11">
        <f>SUM(O2005:O2007)</f>
        <v>14.3</v>
      </c>
      <c r="P2004" s="185"/>
      <c r="Q2004" s="185"/>
    </row>
    <row r="2005" spans="1:17" hidden="1" outlineLevel="1">
      <c r="E2005" s="59"/>
      <c r="F2005" s="60"/>
      <c r="G2005" s="34"/>
      <c r="H2005" s="30"/>
      <c r="I2005" s="35"/>
      <c r="J2005" s="41"/>
      <c r="K2005" s="33">
        <v>1.6</v>
      </c>
      <c r="L2005" s="41"/>
      <c r="M2005" s="33"/>
      <c r="N2005" s="33">
        <v>2</v>
      </c>
      <c r="O2005" s="58">
        <f>ROUND(PRODUCT(J2005:N2005),2)</f>
        <v>3.2</v>
      </c>
      <c r="P2005" s="185"/>
      <c r="Q2005" s="185"/>
    </row>
    <row r="2006" spans="1:17" hidden="1" outlineLevel="1">
      <c r="E2006" s="59"/>
      <c r="F2006" s="60"/>
      <c r="G2006" s="34"/>
      <c r="H2006" s="30"/>
      <c r="I2006" s="35"/>
      <c r="J2006" s="41"/>
      <c r="K2006" s="33">
        <v>1</v>
      </c>
      <c r="L2006" s="41"/>
      <c r="M2006" s="33"/>
      <c r="N2006" s="33">
        <v>3</v>
      </c>
      <c r="O2006" s="58">
        <f>ROUND(PRODUCT(J2006:N2006),2)</f>
        <v>3</v>
      </c>
      <c r="P2006" s="185"/>
      <c r="Q2006" s="185"/>
    </row>
    <row r="2007" spans="1:17" hidden="1" outlineLevel="1">
      <c r="E2007" s="59"/>
      <c r="F2007" s="60"/>
      <c r="G2007" s="34"/>
      <c r="H2007" s="30"/>
      <c r="I2007" s="35"/>
      <c r="J2007" s="41"/>
      <c r="K2007" s="33">
        <v>0.9</v>
      </c>
      <c r="L2007" s="41"/>
      <c r="M2007" s="33"/>
      <c r="N2007" s="33">
        <v>9</v>
      </c>
      <c r="O2007" s="58">
        <f>ROUND(PRODUCT(J2007:N2007),2)</f>
        <v>8.1</v>
      </c>
      <c r="P2007" s="185"/>
      <c r="Q2007" s="185"/>
    </row>
    <row r="2008" spans="1:17" ht="30" hidden="1" outlineLevel="1">
      <c r="A2008" s="2">
        <v>5</v>
      </c>
      <c r="B2008" s="2">
        <v>6</v>
      </c>
      <c r="C2008" s="2" t="e">
        <f>1+#REF!</f>
        <v>#REF!</v>
      </c>
      <c r="E2008" s="20" t="e">
        <f>CONCATENATE(A2008,".",B2008,".",C2008)</f>
        <v>#REF!</v>
      </c>
      <c r="F2008" s="21" t="s">
        <v>3686</v>
      </c>
      <c r="G2008" s="22" t="s">
        <v>233</v>
      </c>
      <c r="H2008" s="23" t="s">
        <v>234</v>
      </c>
      <c r="I2008" s="24" t="s">
        <v>144</v>
      </c>
      <c r="J2008" s="32"/>
      <c r="K2008" s="10"/>
      <c r="L2008" s="32"/>
      <c r="M2008" s="10"/>
      <c r="N2008" s="33"/>
      <c r="O2008" s="27">
        <f>SUM(O2009:O2009)</f>
        <v>5.42</v>
      </c>
      <c r="P2008" s="185"/>
      <c r="Q2008" s="185"/>
    </row>
    <row r="2009" spans="1:17" hidden="1" outlineLevel="1">
      <c r="E2009" s="20"/>
      <c r="F2009" s="21"/>
      <c r="G2009" s="22"/>
      <c r="H2009" s="30"/>
      <c r="I2009" s="41"/>
      <c r="J2009" s="41"/>
      <c r="K2009" s="41"/>
      <c r="L2009" s="41"/>
      <c r="M2009" s="41"/>
      <c r="N2009" s="33">
        <f>3.18+1.12+1.12</f>
        <v>5.4200000000000008</v>
      </c>
      <c r="O2009" s="58">
        <f>ROUND(PRODUCT(J2009:N2009),2)</f>
        <v>5.42</v>
      </c>
      <c r="P2009" s="185"/>
      <c r="Q2009" s="185"/>
    </row>
    <row r="2010" spans="1:17" ht="30" hidden="1" outlineLevel="1">
      <c r="A2010" s="2">
        <v>5</v>
      </c>
      <c r="B2010" s="2">
        <v>6</v>
      </c>
      <c r="C2010" s="2" t="e">
        <f>1+C2008</f>
        <v>#REF!</v>
      </c>
      <c r="E2010" s="20" t="e">
        <f>CONCATENATE(A2010,".",B2010,".",C2010)</f>
        <v>#REF!</v>
      </c>
      <c r="F2010" s="21" t="s">
        <v>3687</v>
      </c>
      <c r="G2010" s="22">
        <v>101749</v>
      </c>
      <c r="H2010" s="23" t="s">
        <v>240</v>
      </c>
      <c r="I2010" s="24" t="s">
        <v>276</v>
      </c>
      <c r="J2010" s="32"/>
      <c r="K2010" s="10"/>
      <c r="L2010" s="32"/>
      <c r="M2010" s="10"/>
      <c r="N2010" s="33"/>
      <c r="O2010" s="27">
        <f>SUM(O2011:O2011)</f>
        <v>24.3</v>
      </c>
      <c r="P2010" s="185"/>
      <c r="Q2010" s="185"/>
    </row>
    <row r="2011" spans="1:17" hidden="1" outlineLevel="1">
      <c r="E2011" s="20"/>
      <c r="F2011" s="21"/>
      <c r="G2011" s="22"/>
      <c r="H2011" s="30" t="s">
        <v>3688</v>
      </c>
      <c r="I2011" s="35"/>
      <c r="J2011" s="41"/>
      <c r="K2011" s="33"/>
      <c r="L2011" s="41"/>
      <c r="M2011" s="33"/>
      <c r="N2011" s="33">
        <v>24.3</v>
      </c>
      <c r="O2011" s="58">
        <f>ROUND(PRODUCT(J2011:N2011),2)</f>
        <v>24.3</v>
      </c>
      <c r="P2011" s="185"/>
      <c r="Q2011" s="185"/>
    </row>
    <row r="2012" spans="1:17" collapsed="1">
      <c r="A2012" s="2">
        <v>6</v>
      </c>
      <c r="B2012" s="2">
        <v>7</v>
      </c>
      <c r="E2012" s="42" t="str">
        <f>CONCATENATE(A2012,".",B2012)</f>
        <v>6.7</v>
      </c>
      <c r="F2012" s="45" t="s">
        <v>3689</v>
      </c>
      <c r="G2012" s="13"/>
      <c r="H2012" s="14" t="s">
        <v>257</v>
      </c>
      <c r="I2012" s="15"/>
      <c r="J2012" s="16"/>
      <c r="K2012" s="17"/>
      <c r="L2012" s="16"/>
      <c r="M2012" s="17"/>
      <c r="N2012" s="18"/>
      <c r="O2012" s="19"/>
      <c r="P2012" s="185"/>
      <c r="Q2012" s="185"/>
    </row>
    <row r="2013" spans="1:17" ht="45" hidden="1" outlineLevel="1">
      <c r="A2013" s="2">
        <v>6</v>
      </c>
      <c r="B2013" s="2">
        <v>7</v>
      </c>
      <c r="C2013" s="2">
        <v>1</v>
      </c>
      <c r="E2013" s="20" t="str">
        <f>CONCATENATE(A2013,".",B2013,".",C2013)</f>
        <v>6.7.1</v>
      </c>
      <c r="F2013" s="21" t="s">
        <v>3690</v>
      </c>
      <c r="G2013" s="22" t="s">
        <v>259</v>
      </c>
      <c r="H2013" s="23" t="s">
        <v>3067</v>
      </c>
      <c r="I2013" s="24" t="s">
        <v>45</v>
      </c>
      <c r="J2013" s="32"/>
      <c r="K2013" s="10"/>
      <c r="L2013" s="32"/>
      <c r="M2013" s="10"/>
      <c r="N2013" s="33"/>
      <c r="O2013" s="11">
        <f>SUM(O2014:O2041)</f>
        <v>820.44</v>
      </c>
      <c r="P2013" s="185"/>
      <c r="Q2013" s="185"/>
    </row>
    <row r="2014" spans="1:17" hidden="1" outlineLevel="2">
      <c r="E2014" s="59"/>
      <c r="F2014" s="60"/>
      <c r="G2014" s="34"/>
      <c r="H2014" s="30" t="s">
        <v>3657</v>
      </c>
      <c r="I2014" s="35"/>
      <c r="J2014" s="41"/>
      <c r="K2014" s="33">
        <v>12.27</v>
      </c>
      <c r="L2014" s="41"/>
      <c r="M2014" s="33">
        <v>2.6</v>
      </c>
      <c r="N2014" s="33"/>
      <c r="O2014" s="58">
        <f t="shared" ref="O2014:O2041" si="64">ROUND(PRODUCT(J2014:N2014),2)</f>
        <v>31.9</v>
      </c>
      <c r="P2014" s="185"/>
      <c r="Q2014" s="185"/>
    </row>
    <row r="2015" spans="1:17" hidden="1" outlineLevel="2">
      <c r="E2015" s="59"/>
      <c r="F2015" s="60"/>
      <c r="G2015" s="34"/>
      <c r="H2015" s="30" t="str">
        <f>_xlfn.CONCAT(H2014," - VÃO")</f>
        <v>DEPOSITO UTENSILIOS - PAREDE - VÃO</v>
      </c>
      <c r="I2015" s="62"/>
      <c r="J2015" s="37">
        <v>-1</v>
      </c>
      <c r="K2015" s="38"/>
      <c r="L2015" s="37"/>
      <c r="M2015" s="38"/>
      <c r="N2015" s="38">
        <f>0.9*1.8+0.9*2.1+2.55*0.66</f>
        <v>5.1930000000000005</v>
      </c>
      <c r="O2015" s="68">
        <f t="shared" si="64"/>
        <v>-5.19</v>
      </c>
      <c r="P2015" s="185"/>
      <c r="Q2015" s="185"/>
    </row>
    <row r="2016" spans="1:17" hidden="1" outlineLevel="2">
      <c r="E2016" s="59"/>
      <c r="F2016" s="60"/>
      <c r="G2016" s="34"/>
      <c r="H2016" s="30" t="s">
        <v>3658</v>
      </c>
      <c r="I2016" s="35"/>
      <c r="J2016" s="41"/>
      <c r="K2016" s="33">
        <v>11.93</v>
      </c>
      <c r="L2016" s="41"/>
      <c r="M2016" s="33">
        <v>2.6</v>
      </c>
      <c r="N2016" s="33"/>
      <c r="O2016" s="58">
        <f t="shared" si="64"/>
        <v>31.02</v>
      </c>
      <c r="P2016" s="185"/>
      <c r="Q2016" s="185"/>
    </row>
    <row r="2017" spans="5:17" hidden="1" outlineLevel="2">
      <c r="E2017" s="59"/>
      <c r="F2017" s="60"/>
      <c r="G2017" s="34"/>
      <c r="H2017" s="30" t="str">
        <f>_xlfn.CONCAT(H2016," - VÃO")</f>
        <v>LAVAGEM PRATOS - PAREDE - VÃO</v>
      </c>
      <c r="I2017" s="62"/>
      <c r="J2017" s="37">
        <v>-1</v>
      </c>
      <c r="K2017" s="38"/>
      <c r="L2017" s="37"/>
      <c r="M2017" s="38"/>
      <c r="N2017" s="38">
        <f>1.3*1.5+3.6*0.6</f>
        <v>4.1100000000000003</v>
      </c>
      <c r="O2017" s="68">
        <f t="shared" si="64"/>
        <v>-4.1100000000000003</v>
      </c>
      <c r="P2017" s="185"/>
      <c r="Q2017" s="185"/>
    </row>
    <row r="2018" spans="5:17" hidden="1" outlineLevel="2">
      <c r="E2018" s="59"/>
      <c r="F2018" s="60"/>
      <c r="G2018" s="34"/>
      <c r="H2018" s="30" t="s">
        <v>3659</v>
      </c>
      <c r="I2018" s="35"/>
      <c r="J2018" s="41"/>
      <c r="K2018" s="33">
        <v>32.69</v>
      </c>
      <c r="L2018" s="41"/>
      <c r="M2018" s="33">
        <v>3.76</v>
      </c>
      <c r="N2018" s="33"/>
      <c r="O2018" s="58">
        <f t="shared" si="64"/>
        <v>122.91</v>
      </c>
      <c r="P2018" s="185"/>
      <c r="Q2018" s="185"/>
    </row>
    <row r="2019" spans="5:17" hidden="1" outlineLevel="2">
      <c r="E2019" s="59"/>
      <c r="F2019" s="60"/>
      <c r="G2019" s="34"/>
      <c r="H2019" s="30" t="str">
        <f>_xlfn.CONCAT(H2018," - VÃO")</f>
        <v>COZINHA - PAREDE - VÃO</v>
      </c>
      <c r="I2019" s="62"/>
      <c r="J2019" s="37">
        <v>-1</v>
      </c>
      <c r="K2019" s="38"/>
      <c r="L2019" s="37"/>
      <c r="M2019" s="38"/>
      <c r="N2019" s="38">
        <f>3.6*0.6+1.3*1.5*2+11*0.6+4.44*1.26</f>
        <v>18.2544</v>
      </c>
      <c r="O2019" s="68">
        <f t="shared" si="64"/>
        <v>-18.25</v>
      </c>
      <c r="P2019" s="185"/>
      <c r="Q2019" s="185"/>
    </row>
    <row r="2020" spans="5:17" hidden="1" outlineLevel="2">
      <c r="E2020" s="59"/>
      <c r="F2020" s="60"/>
      <c r="G2020" s="34"/>
      <c r="H2020" s="30" t="s">
        <v>3660</v>
      </c>
      <c r="I2020" s="35"/>
      <c r="J2020" s="41"/>
      <c r="K2020" s="33">
        <v>14.61</v>
      </c>
      <c r="L2020" s="41"/>
      <c r="M2020" s="33">
        <v>3.76</v>
      </c>
      <c r="N2020" s="33"/>
      <c r="O2020" s="58">
        <f t="shared" si="64"/>
        <v>54.93</v>
      </c>
      <c r="P2020" s="185"/>
      <c r="Q2020" s="185"/>
    </row>
    <row r="2021" spans="5:17" hidden="1" outlineLevel="2">
      <c r="E2021" s="59"/>
      <c r="F2021" s="60"/>
      <c r="G2021" s="34"/>
      <c r="H2021" s="30" t="str">
        <f>_xlfn.CONCAT(H2020," - VÃO")</f>
        <v>DESPENSA FRIA - PAREDE - VÃO</v>
      </c>
      <c r="I2021" s="62"/>
      <c r="J2021" s="37">
        <v>-1</v>
      </c>
      <c r="K2021" s="38"/>
      <c r="L2021" s="37"/>
      <c r="M2021" s="38"/>
      <c r="N2021" s="38">
        <f>1*2.1+2.55+0.66</f>
        <v>5.3100000000000005</v>
      </c>
      <c r="O2021" s="68">
        <f t="shared" si="64"/>
        <v>-5.31</v>
      </c>
      <c r="P2021" s="185"/>
      <c r="Q2021" s="185"/>
    </row>
    <row r="2022" spans="5:17" hidden="1" outlineLevel="2">
      <c r="E2022" s="59"/>
      <c r="F2022" s="60"/>
      <c r="G2022" s="34"/>
      <c r="H2022" s="30" t="s">
        <v>3661</v>
      </c>
      <c r="I2022" s="35"/>
      <c r="J2022" s="41"/>
      <c r="K2022" s="33">
        <v>19.84</v>
      </c>
      <c r="L2022" s="41"/>
      <c r="M2022" s="33">
        <v>3.76</v>
      </c>
      <c r="N2022" s="33"/>
      <c r="O2022" s="58">
        <f t="shared" si="64"/>
        <v>74.599999999999994</v>
      </c>
      <c r="P2022" s="185"/>
      <c r="Q2022" s="185"/>
    </row>
    <row r="2023" spans="5:17" hidden="1" outlineLevel="2">
      <c r="E2023" s="59"/>
      <c r="F2023" s="60"/>
      <c r="G2023" s="34"/>
      <c r="H2023" s="30" t="str">
        <f>_xlfn.CONCAT(H2022," - VÃO")</f>
        <v>DESPENSA SECA - PAREDE - VÃO</v>
      </c>
      <c r="I2023" s="62"/>
      <c r="J2023" s="37">
        <v>-1</v>
      </c>
      <c r="K2023" s="38"/>
      <c r="L2023" s="37"/>
      <c r="M2023" s="38"/>
      <c r="N2023" s="38">
        <f>0.9*2.1+4.44*0.66</f>
        <v>4.8204000000000011</v>
      </c>
      <c r="O2023" s="68">
        <f t="shared" si="64"/>
        <v>-4.82</v>
      </c>
      <c r="P2023" s="185"/>
      <c r="Q2023" s="185"/>
    </row>
    <row r="2024" spans="5:17" hidden="1" outlineLevel="2">
      <c r="E2024" s="59"/>
      <c r="F2024" s="60"/>
      <c r="G2024" s="34"/>
      <c r="H2024" s="30" t="s">
        <v>3662</v>
      </c>
      <c r="I2024" s="35"/>
      <c r="J2024" s="41"/>
      <c r="K2024" s="33">
        <v>18.54</v>
      </c>
      <c r="L2024" s="41"/>
      <c r="M2024" s="33">
        <v>3.76</v>
      </c>
      <c r="N2024" s="33"/>
      <c r="O2024" s="58">
        <f t="shared" si="64"/>
        <v>69.709999999999994</v>
      </c>
      <c r="P2024" s="185"/>
      <c r="Q2024" s="185"/>
    </row>
    <row r="2025" spans="5:17" hidden="1" outlineLevel="2">
      <c r="E2025" s="59"/>
      <c r="F2025" s="60"/>
      <c r="G2025" s="34"/>
      <c r="H2025" s="30" t="str">
        <f>_xlfn.CONCAT(H2024," - VÃO")</f>
        <v>GREMIO  - PAREDE - VÃO</v>
      </c>
      <c r="I2025" s="62"/>
      <c r="J2025" s="37">
        <v>-1</v>
      </c>
      <c r="K2025" s="38"/>
      <c r="L2025" s="37"/>
      <c r="M2025" s="38"/>
      <c r="N2025" s="38">
        <f>1.6*2.1+3.81*0.46</f>
        <v>5.1126000000000005</v>
      </c>
      <c r="O2025" s="68">
        <f t="shared" si="64"/>
        <v>-5.1100000000000003</v>
      </c>
      <c r="P2025" s="185"/>
      <c r="Q2025" s="185"/>
    </row>
    <row r="2026" spans="5:17" hidden="1" outlineLevel="2">
      <c r="E2026" s="59"/>
      <c r="F2026" s="60"/>
      <c r="G2026" s="34"/>
      <c r="H2026" s="30" t="s">
        <v>3663</v>
      </c>
      <c r="I2026" s="35"/>
      <c r="J2026" s="41"/>
      <c r="K2026" s="33">
        <f>5.9+5.9</f>
        <v>11.8</v>
      </c>
      <c r="L2026" s="41"/>
      <c r="M2026" s="33">
        <v>2.6</v>
      </c>
      <c r="N2026" s="33"/>
      <c r="O2026" s="58">
        <f t="shared" si="64"/>
        <v>30.68</v>
      </c>
      <c r="P2026" s="185"/>
      <c r="Q2026" s="185"/>
    </row>
    <row r="2027" spans="5:17" hidden="1" outlineLevel="2">
      <c r="E2027" s="59"/>
      <c r="F2027" s="60"/>
      <c r="G2027" s="34"/>
      <c r="H2027" s="30" t="str">
        <f>_xlfn.CONCAT(H2026," - VÃO")</f>
        <v>WC COZINHA FEM E MASC - PAREDE - VÃO</v>
      </c>
      <c r="I2027" s="62"/>
      <c r="J2027" s="37">
        <v>-1</v>
      </c>
      <c r="K2027" s="38"/>
      <c r="L2027" s="37"/>
      <c r="M2027" s="38"/>
      <c r="N2027" s="38">
        <f>2*0.9*2.1+1.29*0.46*2</f>
        <v>4.9668000000000001</v>
      </c>
      <c r="O2027" s="68">
        <f t="shared" si="64"/>
        <v>-4.97</v>
      </c>
      <c r="P2027" s="185"/>
      <c r="Q2027" s="185"/>
    </row>
    <row r="2028" spans="5:17" hidden="1" outlineLevel="2">
      <c r="E2028" s="59"/>
      <c r="F2028" s="60"/>
      <c r="G2028" s="34"/>
      <c r="H2028" s="30" t="s">
        <v>3664</v>
      </c>
      <c r="I2028" s="35"/>
      <c r="J2028" s="41"/>
      <c r="K2028" s="33">
        <v>9.6999999999999993</v>
      </c>
      <c r="L2028" s="41"/>
      <c r="M2028" s="33">
        <v>2.6</v>
      </c>
      <c r="N2028" s="33"/>
      <c r="O2028" s="58">
        <f t="shared" si="64"/>
        <v>25.22</v>
      </c>
      <c r="P2028" s="185"/>
      <c r="Q2028" s="185"/>
    </row>
    <row r="2029" spans="5:17" hidden="1" outlineLevel="2">
      <c r="E2029" s="59"/>
      <c r="F2029" s="60"/>
      <c r="G2029" s="34"/>
      <c r="H2029" s="30" t="str">
        <f>_xlfn.CONCAT(H2028," - VÃO")</f>
        <v>LAVAGEM PANELAS / CIRCULAÇÃO - PAREDE - VÃO</v>
      </c>
      <c r="I2029" s="62"/>
      <c r="J2029" s="37">
        <v>-1</v>
      </c>
      <c r="K2029" s="38"/>
      <c r="L2029" s="37"/>
      <c r="M2029" s="38"/>
      <c r="N2029" s="38">
        <v>0</v>
      </c>
      <c r="O2029" s="68">
        <f t="shared" si="64"/>
        <v>0</v>
      </c>
      <c r="P2029" s="185"/>
      <c r="Q2029" s="185"/>
    </row>
    <row r="2030" spans="5:17" hidden="1" outlineLevel="2">
      <c r="E2030" s="59"/>
      <c r="F2030" s="60"/>
      <c r="G2030" s="34"/>
      <c r="H2030" s="30" t="s">
        <v>3665</v>
      </c>
      <c r="I2030" s="35"/>
      <c r="J2030" s="41"/>
      <c r="K2030" s="33">
        <f>14.49+7.09</f>
        <v>21.58</v>
      </c>
      <c r="L2030" s="41"/>
      <c r="M2030" s="33">
        <v>3.76</v>
      </c>
      <c r="N2030" s="33"/>
      <c r="O2030" s="58">
        <f t="shared" si="64"/>
        <v>81.14</v>
      </c>
      <c r="P2030" s="185"/>
      <c r="Q2030" s="185"/>
    </row>
    <row r="2031" spans="5:17" hidden="1" outlineLevel="2">
      <c r="E2031" s="59"/>
      <c r="F2031" s="60"/>
      <c r="G2031" s="34"/>
      <c r="H2031" s="30" t="str">
        <f>_xlfn.CONCAT(H2030," - VÃO")</f>
        <v>CIRCULAÇÃO / DML - PAREDE - VÃO</v>
      </c>
      <c r="I2031" s="62"/>
      <c r="J2031" s="37">
        <v>-1</v>
      </c>
      <c r="K2031" s="38"/>
      <c r="L2031" s="37"/>
      <c r="M2031" s="38"/>
      <c r="N2031" s="38">
        <f>2*0.9*2.1+2*1*2.1</f>
        <v>7.98</v>
      </c>
      <c r="O2031" s="68">
        <f t="shared" si="64"/>
        <v>-7.98</v>
      </c>
      <c r="P2031" s="185"/>
      <c r="Q2031" s="185"/>
    </row>
    <row r="2032" spans="5:17" hidden="1" outlineLevel="2">
      <c r="E2032" s="59"/>
      <c r="F2032" s="60"/>
      <c r="G2032" s="34"/>
      <c r="H2032" s="30" t="s">
        <v>3666</v>
      </c>
      <c r="I2032" s="35"/>
      <c r="J2032" s="41"/>
      <c r="K2032" s="33">
        <v>15.26</v>
      </c>
      <c r="L2032" s="41"/>
      <c r="M2032" s="33">
        <v>3.76</v>
      </c>
      <c r="N2032" s="33"/>
      <c r="O2032" s="58">
        <f t="shared" si="64"/>
        <v>57.38</v>
      </c>
      <c r="P2032" s="185"/>
      <c r="Q2032" s="185"/>
    </row>
    <row r="2033" spans="1:17" hidden="1" outlineLevel="2">
      <c r="E2033" s="59"/>
      <c r="F2033" s="60"/>
      <c r="G2033" s="34"/>
      <c r="H2033" s="30" t="str">
        <f>_xlfn.CONCAT(H2032," - VÃO")</f>
        <v>DESPENSA HORTIFRUTTI - PAREDE - VÃO</v>
      </c>
      <c r="I2033" s="62"/>
      <c r="J2033" s="37">
        <v>-1</v>
      </c>
      <c r="K2033" s="38"/>
      <c r="L2033" s="37"/>
      <c r="M2033" s="38"/>
      <c r="N2033" s="38">
        <f>4.44*0.46</f>
        <v>2.0424000000000002</v>
      </c>
      <c r="O2033" s="68">
        <f t="shared" si="64"/>
        <v>-2.04</v>
      </c>
      <c r="P2033" s="185"/>
      <c r="Q2033" s="185"/>
    </row>
    <row r="2034" spans="1:17" hidden="1" outlineLevel="2">
      <c r="E2034" s="59"/>
      <c r="F2034" s="60"/>
      <c r="G2034" s="34"/>
      <c r="H2034" s="30" t="s">
        <v>3667</v>
      </c>
      <c r="I2034" s="35"/>
      <c r="J2034" s="41"/>
      <c r="K2034" s="33">
        <v>23.16</v>
      </c>
      <c r="L2034" s="41"/>
      <c r="M2034" s="33">
        <v>3.76</v>
      </c>
      <c r="N2034" s="33"/>
      <c r="O2034" s="58">
        <f t="shared" si="64"/>
        <v>87.08</v>
      </c>
      <c r="P2034" s="185"/>
      <c r="Q2034" s="185"/>
    </row>
    <row r="2035" spans="1:17" hidden="1" outlineLevel="2">
      <c r="E2035" s="59"/>
      <c r="F2035" s="60"/>
      <c r="G2035" s="34"/>
      <c r="H2035" s="30" t="str">
        <f>_xlfn.CONCAT(H2034," - VÃO")</f>
        <v>DEPOSITO / MANUNT MOBILIARIO - PAREDE - VÃO</v>
      </c>
      <c r="I2035" s="62"/>
      <c r="J2035" s="37">
        <v>-1</v>
      </c>
      <c r="K2035" s="38"/>
      <c r="L2035" s="37"/>
      <c r="M2035" s="38"/>
      <c r="N2035" s="38">
        <f>2*3.15*0.66+1.6*2.1</f>
        <v>7.5180000000000007</v>
      </c>
      <c r="O2035" s="68">
        <f t="shared" si="64"/>
        <v>-7.52</v>
      </c>
      <c r="P2035" s="185"/>
      <c r="Q2035" s="185"/>
    </row>
    <row r="2036" spans="1:17" hidden="1" outlineLevel="2">
      <c r="E2036" s="59"/>
      <c r="F2036" s="60"/>
      <c r="G2036" s="34"/>
      <c r="H2036" s="30" t="s">
        <v>3668</v>
      </c>
      <c r="I2036" s="35"/>
      <c r="J2036" s="41"/>
      <c r="K2036" s="33">
        <f>19.25+19.25</f>
        <v>38.5</v>
      </c>
      <c r="L2036" s="41"/>
      <c r="M2036" s="33">
        <v>2.6</v>
      </c>
      <c r="N2036" s="33"/>
      <c r="O2036" s="58">
        <f t="shared" si="64"/>
        <v>100.1</v>
      </c>
      <c r="P2036" s="185"/>
      <c r="Q2036" s="185"/>
    </row>
    <row r="2037" spans="1:17" hidden="1" outlineLevel="2">
      <c r="E2037" s="59"/>
      <c r="F2037" s="60"/>
      <c r="G2037" s="34"/>
      <c r="H2037" s="30" t="str">
        <f>_xlfn.CONCAT(H2036," - VÃO")</f>
        <v>VEST FUNC FEM / VEST FUNC MASC - PAREDE - VÃO</v>
      </c>
      <c r="I2037" s="62"/>
      <c r="J2037" s="37">
        <v>-1</v>
      </c>
      <c r="K2037" s="38"/>
      <c r="L2037" s="37"/>
      <c r="M2037" s="38"/>
      <c r="N2037" s="38">
        <f>2*0.9*2.1+1.92*0.66+1.92*0.46+2.55*0.66</f>
        <v>7.6134000000000004</v>
      </c>
      <c r="O2037" s="68">
        <f t="shared" si="64"/>
        <v>-7.61</v>
      </c>
      <c r="P2037" s="185"/>
      <c r="Q2037" s="185"/>
    </row>
    <row r="2038" spans="1:17" hidden="1" outlineLevel="2">
      <c r="E2038" s="59"/>
      <c r="F2038" s="60"/>
      <c r="G2038" s="34"/>
      <c r="H2038" s="30" t="s">
        <v>3669</v>
      </c>
      <c r="I2038" s="35"/>
      <c r="J2038" s="41"/>
      <c r="K2038" s="33">
        <v>25.6</v>
      </c>
      <c r="L2038" s="41"/>
      <c r="M2038" s="33">
        <v>3.76</v>
      </c>
      <c r="N2038" s="33"/>
      <c r="O2038" s="58">
        <f t="shared" si="64"/>
        <v>96.26</v>
      </c>
      <c r="P2038" s="185"/>
      <c r="Q2038" s="185"/>
    </row>
    <row r="2039" spans="1:17" hidden="1" outlineLevel="2">
      <c r="E2039" s="59"/>
      <c r="F2039" s="60"/>
      <c r="G2039" s="34"/>
      <c r="H2039" s="30" t="str">
        <f>_xlfn.CONCAT(H2038," - VÃO")</f>
        <v>CARGA E DESCARGA - PAREDE - VÃO</v>
      </c>
      <c r="I2039" s="62"/>
      <c r="J2039" s="37">
        <v>-1</v>
      </c>
      <c r="K2039" s="38"/>
      <c r="L2039" s="37"/>
      <c r="M2039" s="38"/>
      <c r="N2039" s="38">
        <v>0</v>
      </c>
      <c r="O2039" s="68">
        <f t="shared" si="64"/>
        <v>0</v>
      </c>
      <c r="P2039" s="185"/>
      <c r="Q2039" s="185"/>
    </row>
    <row r="2040" spans="1:17" hidden="1" outlineLevel="2">
      <c r="E2040" s="59"/>
      <c r="F2040" s="60"/>
      <c r="G2040" s="34"/>
      <c r="H2040" s="30" t="s">
        <v>3670</v>
      </c>
      <c r="I2040" s="35"/>
      <c r="J2040" s="41"/>
      <c r="K2040" s="33">
        <v>10.1</v>
      </c>
      <c r="L2040" s="41"/>
      <c r="M2040" s="33">
        <v>3.76</v>
      </c>
      <c r="N2040" s="33"/>
      <c r="O2040" s="58">
        <f t="shared" si="64"/>
        <v>37.979999999999997</v>
      </c>
      <c r="P2040" s="185"/>
      <c r="Q2040" s="185"/>
    </row>
    <row r="2041" spans="1:17" hidden="1" outlineLevel="2">
      <c r="E2041" s="59"/>
      <c r="F2041" s="60"/>
      <c r="G2041" s="34"/>
      <c r="H2041" s="30" t="str">
        <f>_xlfn.CONCAT(H2040," - VÃO")</f>
        <v>LIXEIRO- PAREDE - VÃO</v>
      </c>
      <c r="I2041" s="62"/>
      <c r="J2041" s="37">
        <v>-1</v>
      </c>
      <c r="K2041" s="38"/>
      <c r="L2041" s="37"/>
      <c r="M2041" s="38"/>
      <c r="N2041" s="38">
        <f>2*1.8*2.1</f>
        <v>7.5600000000000005</v>
      </c>
      <c r="O2041" s="68">
        <f t="shared" si="64"/>
        <v>-7.56</v>
      </c>
      <c r="P2041" s="185"/>
      <c r="Q2041" s="185"/>
    </row>
    <row r="2042" spans="1:17" ht="45" hidden="1" outlineLevel="1">
      <c r="A2042" s="2">
        <v>6</v>
      </c>
      <c r="B2042" s="2">
        <v>7</v>
      </c>
      <c r="C2042" s="2">
        <f>1+C2013</f>
        <v>2</v>
      </c>
      <c r="E2042" s="20" t="str">
        <f>CONCATENATE(A2042,".",B2042,".",C2042)</f>
        <v>6.7.2</v>
      </c>
      <c r="F2042" s="21" t="s">
        <v>3691</v>
      </c>
      <c r="G2042" s="22" t="s">
        <v>262</v>
      </c>
      <c r="H2042" s="23" t="s">
        <v>3073</v>
      </c>
      <c r="I2042" s="24" t="s">
        <v>45</v>
      </c>
      <c r="J2042" s="32"/>
      <c r="K2042" s="10"/>
      <c r="L2042" s="32"/>
      <c r="M2042" s="10"/>
      <c r="N2042" s="33"/>
      <c r="O2042" s="11">
        <f>SUM(O2043:O2047)</f>
        <v>151.06</v>
      </c>
      <c r="P2042" s="185"/>
      <c r="Q2042" s="185"/>
    </row>
    <row r="2043" spans="1:17" hidden="1" outlineLevel="2">
      <c r="E2043" s="59"/>
      <c r="F2043" s="60"/>
      <c r="G2043" s="34"/>
      <c r="H2043" s="30" t="s">
        <v>3074</v>
      </c>
      <c r="I2043" s="62"/>
      <c r="J2043" s="37"/>
      <c r="K2043" s="38"/>
      <c r="L2043" s="37"/>
      <c r="M2043" s="38"/>
      <c r="N2043" s="33">
        <f>49.2+39.56</f>
        <v>88.76</v>
      </c>
      <c r="O2043" s="58">
        <f>ROUND(PRODUCT(J2043:N2043),2)</f>
        <v>88.76</v>
      </c>
      <c r="P2043" s="185"/>
      <c r="Q2043" s="185"/>
    </row>
    <row r="2044" spans="1:17" hidden="1" outlineLevel="2">
      <c r="E2044" s="59"/>
      <c r="F2044" s="60"/>
      <c r="G2044" s="34"/>
      <c r="H2044" s="30" t="str">
        <f>_xlfn.CONCAT(H2043," - VÃOS")</f>
        <v>FACHADA - VÃOS</v>
      </c>
      <c r="I2044" s="62"/>
      <c r="J2044" s="37">
        <v>-1</v>
      </c>
      <c r="K2044" s="38"/>
      <c r="L2044" s="37"/>
      <c r="M2044" s="38"/>
      <c r="N2044" s="33"/>
      <c r="O2044" s="58">
        <f>ROUND(PRODUCT(J2044:N2044),2)</f>
        <v>-1</v>
      </c>
      <c r="P2044" s="185"/>
      <c r="Q2044" s="185"/>
    </row>
    <row r="2045" spans="1:17" hidden="1" outlineLevel="2">
      <c r="E2045" s="59"/>
      <c r="F2045" s="60"/>
      <c r="G2045" s="34"/>
      <c r="H2045" s="30" t="s">
        <v>3671</v>
      </c>
      <c r="I2045" s="35"/>
      <c r="J2045" s="41"/>
      <c r="K2045" s="41">
        <v>29.48</v>
      </c>
      <c r="L2045" s="41"/>
      <c r="M2045" s="33">
        <v>0.4</v>
      </c>
      <c r="N2045" s="33"/>
      <c r="O2045" s="58">
        <f>ROUND(PRODUCT(J2045:N2045),2)</f>
        <v>11.79</v>
      </c>
      <c r="P2045" s="185"/>
      <c r="Q2045" s="185"/>
    </row>
    <row r="2046" spans="1:17" hidden="1" outlineLevel="2">
      <c r="E2046" s="59"/>
      <c r="F2046" s="60"/>
      <c r="G2046" s="34"/>
      <c r="H2046" s="30" t="s">
        <v>3672</v>
      </c>
      <c r="I2046" s="35"/>
      <c r="J2046" s="41"/>
      <c r="K2046" s="41">
        <v>46.209999999999994</v>
      </c>
      <c r="L2046" s="41"/>
      <c r="M2046" s="33">
        <v>0.4</v>
      </c>
      <c r="N2046" s="33"/>
      <c r="O2046" s="58">
        <f>ROUND(PRODUCT(J2046:N2046),2)</f>
        <v>18.48</v>
      </c>
      <c r="P2046" s="185"/>
      <c r="Q2046" s="185"/>
    </row>
    <row r="2047" spans="1:17" hidden="1" outlineLevel="2">
      <c r="E2047" s="59"/>
      <c r="F2047" s="60"/>
      <c r="G2047" s="34"/>
      <c r="H2047" s="30" t="s">
        <v>3672</v>
      </c>
      <c r="I2047" s="35"/>
      <c r="J2047" s="41"/>
      <c r="K2047" s="41">
        <v>82.58</v>
      </c>
      <c r="L2047" s="41"/>
      <c r="M2047" s="33">
        <v>0.4</v>
      </c>
      <c r="N2047" s="33"/>
      <c r="O2047" s="58">
        <f>ROUND(PRODUCT(J2047:N2047),2)</f>
        <v>33.03</v>
      </c>
      <c r="P2047" s="185"/>
      <c r="Q2047" s="185"/>
    </row>
    <row r="2048" spans="1:17" ht="60" hidden="1" outlineLevel="1">
      <c r="A2048" s="2">
        <v>6</v>
      </c>
      <c r="B2048" s="2">
        <v>7</v>
      </c>
      <c r="C2048" s="2">
        <f>1+C2042</f>
        <v>3</v>
      </c>
      <c r="E2048" s="20" t="str">
        <f>CONCATENATE(A2048,".",B2048,".",C2048)</f>
        <v>6.7.3</v>
      </c>
      <c r="F2048" s="21" t="s">
        <v>3692</v>
      </c>
      <c r="G2048" s="22">
        <v>87829</v>
      </c>
      <c r="H2048" s="23" t="s">
        <v>266</v>
      </c>
      <c r="I2048" s="24" t="s">
        <v>45</v>
      </c>
      <c r="J2048" s="32"/>
      <c r="K2048" s="10"/>
      <c r="L2048" s="32"/>
      <c r="M2048" s="10"/>
      <c r="N2048" s="33"/>
      <c r="O2048" s="11">
        <f>SUM(O2049:O2076)</f>
        <v>820.44</v>
      </c>
      <c r="P2048" s="185"/>
      <c r="Q2048" s="185"/>
    </row>
    <row r="2049" spans="5:17" hidden="1" outlineLevel="2">
      <c r="E2049" s="59"/>
      <c r="F2049" s="60"/>
      <c r="G2049" s="34"/>
      <c r="H2049" s="30" t="s">
        <v>3657</v>
      </c>
      <c r="I2049" s="35"/>
      <c r="J2049" s="41"/>
      <c r="K2049" s="33">
        <v>12.27</v>
      </c>
      <c r="L2049" s="41"/>
      <c r="M2049" s="33">
        <v>2.6</v>
      </c>
      <c r="N2049" s="33"/>
      <c r="O2049" s="58">
        <f t="shared" ref="O2049:O2076" si="65">ROUND(PRODUCT(J2049:N2049),2)</f>
        <v>31.9</v>
      </c>
      <c r="P2049" s="185"/>
      <c r="Q2049" s="185"/>
    </row>
    <row r="2050" spans="5:17" hidden="1" outlineLevel="2">
      <c r="E2050" s="59"/>
      <c r="F2050" s="60"/>
      <c r="G2050" s="34"/>
      <c r="H2050" s="30" t="str">
        <f>_xlfn.CONCAT(H2049," - VÃO")</f>
        <v>DEPOSITO UTENSILIOS - PAREDE - VÃO</v>
      </c>
      <c r="I2050" s="62"/>
      <c r="J2050" s="37">
        <v>-1</v>
      </c>
      <c r="K2050" s="38"/>
      <c r="L2050" s="37"/>
      <c r="M2050" s="38"/>
      <c r="N2050" s="38">
        <f>0.9*1.8+0.9*2.1+2.55*0.66</f>
        <v>5.1930000000000005</v>
      </c>
      <c r="O2050" s="68">
        <f t="shared" si="65"/>
        <v>-5.19</v>
      </c>
      <c r="P2050" s="185"/>
      <c r="Q2050" s="185"/>
    </row>
    <row r="2051" spans="5:17" hidden="1" outlineLevel="2">
      <c r="E2051" s="59"/>
      <c r="F2051" s="60"/>
      <c r="G2051" s="34"/>
      <c r="H2051" s="30" t="s">
        <v>3658</v>
      </c>
      <c r="I2051" s="35"/>
      <c r="J2051" s="41"/>
      <c r="K2051" s="33">
        <v>11.93</v>
      </c>
      <c r="L2051" s="41"/>
      <c r="M2051" s="33">
        <v>2.6</v>
      </c>
      <c r="N2051" s="33"/>
      <c r="O2051" s="58">
        <f t="shared" si="65"/>
        <v>31.02</v>
      </c>
      <c r="P2051" s="185"/>
      <c r="Q2051" s="185"/>
    </row>
    <row r="2052" spans="5:17" hidden="1" outlineLevel="2">
      <c r="E2052" s="59"/>
      <c r="F2052" s="60"/>
      <c r="G2052" s="34"/>
      <c r="H2052" s="30" t="str">
        <f>_xlfn.CONCAT(H2051," - VÃO")</f>
        <v>LAVAGEM PRATOS - PAREDE - VÃO</v>
      </c>
      <c r="I2052" s="62"/>
      <c r="J2052" s="37">
        <v>-1</v>
      </c>
      <c r="K2052" s="38"/>
      <c r="L2052" s="37"/>
      <c r="M2052" s="38"/>
      <c r="N2052" s="38">
        <f>1.3*1.5+3.6*0.6</f>
        <v>4.1100000000000003</v>
      </c>
      <c r="O2052" s="68">
        <f t="shared" si="65"/>
        <v>-4.1100000000000003</v>
      </c>
      <c r="P2052" s="185"/>
      <c r="Q2052" s="185"/>
    </row>
    <row r="2053" spans="5:17" hidden="1" outlineLevel="2">
      <c r="E2053" s="59"/>
      <c r="F2053" s="60"/>
      <c r="G2053" s="34"/>
      <c r="H2053" s="30" t="s">
        <v>3659</v>
      </c>
      <c r="I2053" s="35"/>
      <c r="J2053" s="41"/>
      <c r="K2053" s="33">
        <v>32.69</v>
      </c>
      <c r="L2053" s="41"/>
      <c r="M2053" s="33">
        <v>3.76</v>
      </c>
      <c r="N2053" s="33"/>
      <c r="O2053" s="58">
        <f t="shared" si="65"/>
        <v>122.91</v>
      </c>
      <c r="P2053" s="185"/>
      <c r="Q2053" s="185"/>
    </row>
    <row r="2054" spans="5:17" hidden="1" outlineLevel="2">
      <c r="E2054" s="59"/>
      <c r="F2054" s="60"/>
      <c r="G2054" s="34"/>
      <c r="H2054" s="30" t="str">
        <f>_xlfn.CONCAT(H2053," - VÃO")</f>
        <v>COZINHA - PAREDE - VÃO</v>
      </c>
      <c r="I2054" s="62"/>
      <c r="J2054" s="37">
        <v>-1</v>
      </c>
      <c r="K2054" s="38"/>
      <c r="L2054" s="37"/>
      <c r="M2054" s="38"/>
      <c r="N2054" s="38">
        <f>3.6*0.6+1.3*1.5*2+11*0.6+4.44*1.26</f>
        <v>18.2544</v>
      </c>
      <c r="O2054" s="68">
        <f t="shared" si="65"/>
        <v>-18.25</v>
      </c>
      <c r="P2054" s="185"/>
      <c r="Q2054" s="185"/>
    </row>
    <row r="2055" spans="5:17" hidden="1" outlineLevel="2">
      <c r="E2055" s="59"/>
      <c r="F2055" s="60"/>
      <c r="G2055" s="34"/>
      <c r="H2055" s="30" t="s">
        <v>3660</v>
      </c>
      <c r="I2055" s="35"/>
      <c r="J2055" s="41"/>
      <c r="K2055" s="33">
        <v>14.61</v>
      </c>
      <c r="L2055" s="41"/>
      <c r="M2055" s="33">
        <v>3.76</v>
      </c>
      <c r="N2055" s="33"/>
      <c r="O2055" s="58">
        <f t="shared" si="65"/>
        <v>54.93</v>
      </c>
      <c r="P2055" s="185"/>
      <c r="Q2055" s="185"/>
    </row>
    <row r="2056" spans="5:17" hidden="1" outlineLevel="2">
      <c r="E2056" s="59"/>
      <c r="F2056" s="60"/>
      <c r="G2056" s="34"/>
      <c r="H2056" s="30" t="str">
        <f>_xlfn.CONCAT(H2055," - VÃO")</f>
        <v>DESPENSA FRIA - PAREDE - VÃO</v>
      </c>
      <c r="I2056" s="62"/>
      <c r="J2056" s="37">
        <v>-1</v>
      </c>
      <c r="K2056" s="38"/>
      <c r="L2056" s="37"/>
      <c r="M2056" s="38"/>
      <c r="N2056" s="38">
        <f>1*2.1+2.55+0.66</f>
        <v>5.3100000000000005</v>
      </c>
      <c r="O2056" s="68">
        <f t="shared" si="65"/>
        <v>-5.31</v>
      </c>
      <c r="P2056" s="185"/>
      <c r="Q2056" s="185"/>
    </row>
    <row r="2057" spans="5:17" hidden="1" outlineLevel="2">
      <c r="E2057" s="59"/>
      <c r="F2057" s="60"/>
      <c r="G2057" s="34"/>
      <c r="H2057" s="30" t="s">
        <v>3661</v>
      </c>
      <c r="I2057" s="35"/>
      <c r="J2057" s="41"/>
      <c r="K2057" s="33">
        <v>19.84</v>
      </c>
      <c r="L2057" s="41"/>
      <c r="M2057" s="33">
        <v>3.76</v>
      </c>
      <c r="N2057" s="33"/>
      <c r="O2057" s="58">
        <f t="shared" si="65"/>
        <v>74.599999999999994</v>
      </c>
      <c r="P2057" s="185"/>
      <c r="Q2057" s="185"/>
    </row>
    <row r="2058" spans="5:17" hidden="1" outlineLevel="2">
      <c r="E2058" s="59"/>
      <c r="F2058" s="60"/>
      <c r="G2058" s="34"/>
      <c r="H2058" s="30" t="str">
        <f>_xlfn.CONCAT(H2057," - VÃO")</f>
        <v>DESPENSA SECA - PAREDE - VÃO</v>
      </c>
      <c r="I2058" s="62"/>
      <c r="J2058" s="37">
        <v>-1</v>
      </c>
      <c r="K2058" s="38"/>
      <c r="L2058" s="37"/>
      <c r="M2058" s="38"/>
      <c r="N2058" s="38">
        <f>0.9*2.1+4.44*0.66</f>
        <v>4.8204000000000011</v>
      </c>
      <c r="O2058" s="68">
        <f t="shared" si="65"/>
        <v>-4.82</v>
      </c>
      <c r="P2058" s="185"/>
      <c r="Q2058" s="185"/>
    </row>
    <row r="2059" spans="5:17" hidden="1" outlineLevel="2">
      <c r="E2059" s="59"/>
      <c r="F2059" s="60"/>
      <c r="G2059" s="34"/>
      <c r="H2059" s="30" t="s">
        <v>3662</v>
      </c>
      <c r="I2059" s="35"/>
      <c r="J2059" s="41"/>
      <c r="K2059" s="33">
        <v>18.54</v>
      </c>
      <c r="L2059" s="41"/>
      <c r="M2059" s="33">
        <v>3.76</v>
      </c>
      <c r="N2059" s="33"/>
      <c r="O2059" s="58">
        <f t="shared" si="65"/>
        <v>69.709999999999994</v>
      </c>
      <c r="P2059" s="185"/>
      <c r="Q2059" s="185"/>
    </row>
    <row r="2060" spans="5:17" hidden="1" outlineLevel="2">
      <c r="E2060" s="59"/>
      <c r="F2060" s="60"/>
      <c r="G2060" s="34"/>
      <c r="H2060" s="30" t="str">
        <f>_xlfn.CONCAT(H2059," - VÃO")</f>
        <v>GREMIO  - PAREDE - VÃO</v>
      </c>
      <c r="I2060" s="62"/>
      <c r="J2060" s="37">
        <v>-1</v>
      </c>
      <c r="K2060" s="38"/>
      <c r="L2060" s="37"/>
      <c r="M2060" s="38"/>
      <c r="N2060" s="38">
        <f>1.6*2.1+3.81*0.46</f>
        <v>5.1126000000000005</v>
      </c>
      <c r="O2060" s="68">
        <f t="shared" si="65"/>
        <v>-5.1100000000000003</v>
      </c>
      <c r="P2060" s="185"/>
      <c r="Q2060" s="185"/>
    </row>
    <row r="2061" spans="5:17" hidden="1" outlineLevel="2">
      <c r="E2061" s="59"/>
      <c r="F2061" s="60"/>
      <c r="G2061" s="34"/>
      <c r="H2061" s="30" t="s">
        <v>3663</v>
      </c>
      <c r="I2061" s="35"/>
      <c r="J2061" s="41"/>
      <c r="K2061" s="33">
        <f>5.9+5.9</f>
        <v>11.8</v>
      </c>
      <c r="L2061" s="41"/>
      <c r="M2061" s="33">
        <v>2.6</v>
      </c>
      <c r="N2061" s="33"/>
      <c r="O2061" s="58">
        <f t="shared" si="65"/>
        <v>30.68</v>
      </c>
      <c r="P2061" s="185"/>
      <c r="Q2061" s="185"/>
    </row>
    <row r="2062" spans="5:17" hidden="1" outlineLevel="2">
      <c r="E2062" s="59"/>
      <c r="F2062" s="60"/>
      <c r="G2062" s="34"/>
      <c r="H2062" s="30" t="str">
        <f>_xlfn.CONCAT(H2061," - VÃO")</f>
        <v>WC COZINHA FEM E MASC - PAREDE - VÃO</v>
      </c>
      <c r="I2062" s="62"/>
      <c r="J2062" s="37">
        <v>-1</v>
      </c>
      <c r="K2062" s="38"/>
      <c r="L2062" s="37"/>
      <c r="M2062" s="38"/>
      <c r="N2062" s="38">
        <f>2*0.9*2.1+1.29*0.46*2</f>
        <v>4.9668000000000001</v>
      </c>
      <c r="O2062" s="68">
        <f t="shared" si="65"/>
        <v>-4.97</v>
      </c>
      <c r="P2062" s="185"/>
      <c r="Q2062" s="185"/>
    </row>
    <row r="2063" spans="5:17" hidden="1" outlineLevel="2">
      <c r="E2063" s="59"/>
      <c r="F2063" s="60"/>
      <c r="G2063" s="34"/>
      <c r="H2063" s="30" t="s">
        <v>3664</v>
      </c>
      <c r="I2063" s="35"/>
      <c r="J2063" s="41"/>
      <c r="K2063" s="33">
        <v>9.6999999999999993</v>
      </c>
      <c r="L2063" s="41"/>
      <c r="M2063" s="33">
        <v>2.6</v>
      </c>
      <c r="N2063" s="33"/>
      <c r="O2063" s="58">
        <f t="shared" si="65"/>
        <v>25.22</v>
      </c>
      <c r="P2063" s="185"/>
      <c r="Q2063" s="185"/>
    </row>
    <row r="2064" spans="5:17" hidden="1" outlineLevel="2">
      <c r="E2064" s="59"/>
      <c r="F2064" s="60"/>
      <c r="G2064" s="34"/>
      <c r="H2064" s="30" t="str">
        <f>_xlfn.CONCAT(H2063," - VÃO")</f>
        <v>LAVAGEM PANELAS / CIRCULAÇÃO - PAREDE - VÃO</v>
      </c>
      <c r="I2064" s="62"/>
      <c r="J2064" s="37">
        <v>-1</v>
      </c>
      <c r="K2064" s="38"/>
      <c r="L2064" s="37"/>
      <c r="M2064" s="38"/>
      <c r="N2064" s="38">
        <v>0</v>
      </c>
      <c r="O2064" s="68">
        <f t="shared" si="65"/>
        <v>0</v>
      </c>
      <c r="P2064" s="185"/>
      <c r="Q2064" s="185"/>
    </row>
    <row r="2065" spans="1:17" hidden="1" outlineLevel="2">
      <c r="E2065" s="59"/>
      <c r="F2065" s="60"/>
      <c r="G2065" s="34"/>
      <c r="H2065" s="30" t="s">
        <v>3665</v>
      </c>
      <c r="I2065" s="35"/>
      <c r="J2065" s="41"/>
      <c r="K2065" s="33">
        <f>14.49+7.09</f>
        <v>21.58</v>
      </c>
      <c r="L2065" s="41"/>
      <c r="M2065" s="33">
        <v>3.76</v>
      </c>
      <c r="N2065" s="33"/>
      <c r="O2065" s="58">
        <f t="shared" si="65"/>
        <v>81.14</v>
      </c>
      <c r="P2065" s="185"/>
      <c r="Q2065" s="185"/>
    </row>
    <row r="2066" spans="1:17" hidden="1" outlineLevel="2">
      <c r="E2066" s="59"/>
      <c r="F2066" s="60"/>
      <c r="G2066" s="34"/>
      <c r="H2066" s="30" t="str">
        <f>_xlfn.CONCAT(H2065," - VÃO")</f>
        <v>CIRCULAÇÃO / DML - PAREDE - VÃO</v>
      </c>
      <c r="I2066" s="62"/>
      <c r="J2066" s="37">
        <v>-1</v>
      </c>
      <c r="K2066" s="38"/>
      <c r="L2066" s="37"/>
      <c r="M2066" s="38"/>
      <c r="N2066" s="38">
        <f>2*0.9*2.1+2*1*2.1</f>
        <v>7.98</v>
      </c>
      <c r="O2066" s="68">
        <f t="shared" si="65"/>
        <v>-7.98</v>
      </c>
      <c r="P2066" s="185"/>
      <c r="Q2066" s="185"/>
    </row>
    <row r="2067" spans="1:17" hidden="1" outlineLevel="2">
      <c r="E2067" s="59"/>
      <c r="F2067" s="60"/>
      <c r="G2067" s="34"/>
      <c r="H2067" s="30" t="s">
        <v>3666</v>
      </c>
      <c r="I2067" s="35"/>
      <c r="J2067" s="41"/>
      <c r="K2067" s="33">
        <v>15.26</v>
      </c>
      <c r="L2067" s="41"/>
      <c r="M2067" s="33">
        <v>3.76</v>
      </c>
      <c r="N2067" s="33"/>
      <c r="O2067" s="58">
        <f t="shared" si="65"/>
        <v>57.38</v>
      </c>
      <c r="P2067" s="185"/>
      <c r="Q2067" s="185"/>
    </row>
    <row r="2068" spans="1:17" hidden="1" outlineLevel="2">
      <c r="E2068" s="59"/>
      <c r="F2068" s="60"/>
      <c r="G2068" s="34"/>
      <c r="H2068" s="30" t="str">
        <f>_xlfn.CONCAT(H2067," - VÃO")</f>
        <v>DESPENSA HORTIFRUTTI - PAREDE - VÃO</v>
      </c>
      <c r="I2068" s="62"/>
      <c r="J2068" s="37">
        <v>-1</v>
      </c>
      <c r="K2068" s="38"/>
      <c r="L2068" s="37"/>
      <c r="M2068" s="38"/>
      <c r="N2068" s="38">
        <f>4.44*0.46</f>
        <v>2.0424000000000002</v>
      </c>
      <c r="O2068" s="68">
        <f t="shared" si="65"/>
        <v>-2.04</v>
      </c>
      <c r="P2068" s="185"/>
      <c r="Q2068" s="185"/>
    </row>
    <row r="2069" spans="1:17" hidden="1" outlineLevel="2">
      <c r="E2069" s="59"/>
      <c r="F2069" s="60"/>
      <c r="G2069" s="34"/>
      <c r="H2069" s="30" t="s">
        <v>3667</v>
      </c>
      <c r="I2069" s="35"/>
      <c r="J2069" s="41"/>
      <c r="K2069" s="33">
        <v>23.16</v>
      </c>
      <c r="L2069" s="41"/>
      <c r="M2069" s="33">
        <v>3.76</v>
      </c>
      <c r="N2069" s="33"/>
      <c r="O2069" s="58">
        <f t="shared" si="65"/>
        <v>87.08</v>
      </c>
      <c r="P2069" s="185"/>
      <c r="Q2069" s="185"/>
    </row>
    <row r="2070" spans="1:17" hidden="1" outlineLevel="2">
      <c r="E2070" s="59"/>
      <c r="F2070" s="60"/>
      <c r="G2070" s="34"/>
      <c r="H2070" s="30" t="str">
        <f>_xlfn.CONCAT(H2069," - VÃO")</f>
        <v>DEPOSITO / MANUNT MOBILIARIO - PAREDE - VÃO</v>
      </c>
      <c r="I2070" s="62"/>
      <c r="J2070" s="37">
        <v>-1</v>
      </c>
      <c r="K2070" s="38"/>
      <c r="L2070" s="37"/>
      <c r="M2070" s="38"/>
      <c r="N2070" s="38">
        <f>2*3.15*0.66+1.6*2.1</f>
        <v>7.5180000000000007</v>
      </c>
      <c r="O2070" s="68">
        <f t="shared" si="65"/>
        <v>-7.52</v>
      </c>
      <c r="P2070" s="185"/>
      <c r="Q2070" s="185"/>
    </row>
    <row r="2071" spans="1:17" hidden="1" outlineLevel="2">
      <c r="E2071" s="59"/>
      <c r="F2071" s="60"/>
      <c r="G2071" s="34"/>
      <c r="H2071" s="30" t="s">
        <v>3668</v>
      </c>
      <c r="I2071" s="35"/>
      <c r="J2071" s="41"/>
      <c r="K2071" s="33">
        <f>19.25+19.25</f>
        <v>38.5</v>
      </c>
      <c r="L2071" s="41"/>
      <c r="M2071" s="33">
        <v>2.6</v>
      </c>
      <c r="N2071" s="33"/>
      <c r="O2071" s="58">
        <f t="shared" si="65"/>
        <v>100.1</v>
      </c>
      <c r="P2071" s="185"/>
      <c r="Q2071" s="185"/>
    </row>
    <row r="2072" spans="1:17" hidden="1" outlineLevel="2">
      <c r="E2072" s="59"/>
      <c r="F2072" s="60"/>
      <c r="G2072" s="34"/>
      <c r="H2072" s="30" t="str">
        <f>_xlfn.CONCAT(H2071," - VÃO")</f>
        <v>VEST FUNC FEM / VEST FUNC MASC - PAREDE - VÃO</v>
      </c>
      <c r="I2072" s="62"/>
      <c r="J2072" s="37">
        <v>-1</v>
      </c>
      <c r="K2072" s="38"/>
      <c r="L2072" s="37"/>
      <c r="M2072" s="38"/>
      <c r="N2072" s="38">
        <f>2*0.9*2.1+1.92*0.66+1.92*0.46+2.55*0.66</f>
        <v>7.6134000000000004</v>
      </c>
      <c r="O2072" s="68">
        <f t="shared" si="65"/>
        <v>-7.61</v>
      </c>
      <c r="P2072" s="185"/>
      <c r="Q2072" s="185"/>
    </row>
    <row r="2073" spans="1:17" hidden="1" outlineLevel="2">
      <c r="E2073" s="59"/>
      <c r="F2073" s="60"/>
      <c r="G2073" s="34"/>
      <c r="H2073" s="30" t="s">
        <v>3669</v>
      </c>
      <c r="I2073" s="35"/>
      <c r="J2073" s="41"/>
      <c r="K2073" s="33">
        <v>25.6</v>
      </c>
      <c r="L2073" s="41"/>
      <c r="M2073" s="33">
        <v>3.76</v>
      </c>
      <c r="N2073" s="33"/>
      <c r="O2073" s="58">
        <f t="shared" si="65"/>
        <v>96.26</v>
      </c>
      <c r="P2073" s="185"/>
      <c r="Q2073" s="185"/>
    </row>
    <row r="2074" spans="1:17" hidden="1" outlineLevel="2">
      <c r="E2074" s="59"/>
      <c r="F2074" s="60"/>
      <c r="G2074" s="34"/>
      <c r="H2074" s="30" t="str">
        <f>_xlfn.CONCAT(H2073," - VÃO")</f>
        <v>CARGA E DESCARGA - PAREDE - VÃO</v>
      </c>
      <c r="I2074" s="62"/>
      <c r="J2074" s="37">
        <v>-1</v>
      </c>
      <c r="K2074" s="38"/>
      <c r="L2074" s="37"/>
      <c r="M2074" s="38"/>
      <c r="N2074" s="38">
        <v>0</v>
      </c>
      <c r="O2074" s="68">
        <f t="shared" si="65"/>
        <v>0</v>
      </c>
      <c r="P2074" s="185"/>
      <c r="Q2074" s="185"/>
    </row>
    <row r="2075" spans="1:17" hidden="1" outlineLevel="2">
      <c r="E2075" s="59"/>
      <c r="F2075" s="60"/>
      <c r="G2075" s="34"/>
      <c r="H2075" s="30" t="s">
        <v>3670</v>
      </c>
      <c r="I2075" s="35"/>
      <c r="J2075" s="41"/>
      <c r="K2075" s="33">
        <v>10.1</v>
      </c>
      <c r="L2075" s="41"/>
      <c r="M2075" s="33">
        <v>3.76</v>
      </c>
      <c r="N2075" s="33"/>
      <c r="O2075" s="58">
        <f t="shared" si="65"/>
        <v>37.979999999999997</v>
      </c>
      <c r="P2075" s="185"/>
      <c r="Q2075" s="185"/>
    </row>
    <row r="2076" spans="1:17" hidden="1" outlineLevel="2">
      <c r="E2076" s="59"/>
      <c r="F2076" s="60"/>
      <c r="G2076" s="34"/>
      <c r="H2076" s="30" t="str">
        <f>_xlfn.CONCAT(H2075," - VÃO")</f>
        <v>LIXEIRO- PAREDE - VÃO</v>
      </c>
      <c r="I2076" s="62"/>
      <c r="J2076" s="37">
        <v>-1</v>
      </c>
      <c r="K2076" s="38"/>
      <c r="L2076" s="37"/>
      <c r="M2076" s="38"/>
      <c r="N2076" s="38">
        <f>2*1.8*2.1</f>
        <v>7.5600000000000005</v>
      </c>
      <c r="O2076" s="68">
        <f t="shared" si="65"/>
        <v>-7.56</v>
      </c>
      <c r="P2076" s="185"/>
      <c r="Q2076" s="185"/>
    </row>
    <row r="2077" spans="1:17" ht="45" hidden="1" outlineLevel="1">
      <c r="A2077" s="2">
        <v>6</v>
      </c>
      <c r="B2077" s="2">
        <v>7</v>
      </c>
      <c r="C2077" s="2">
        <f>1+C2048</f>
        <v>4</v>
      </c>
      <c r="E2077" s="20" t="str">
        <f>CONCATENATE(A2077,".",B2077,".",C2077)</f>
        <v>6.7.4</v>
      </c>
      <c r="F2077" s="21" t="s">
        <v>3693</v>
      </c>
      <c r="G2077" s="22">
        <v>87779</v>
      </c>
      <c r="H2077" s="23" t="s">
        <v>269</v>
      </c>
      <c r="I2077" s="24" t="s">
        <v>45</v>
      </c>
      <c r="J2077" s="32"/>
      <c r="K2077" s="10"/>
      <c r="L2077" s="32"/>
      <c r="M2077" s="10"/>
      <c r="N2077" s="33"/>
      <c r="O2077" s="11">
        <f>SUM(O2078:O2082)</f>
        <v>151.06</v>
      </c>
      <c r="P2077" s="185"/>
      <c r="Q2077" s="185"/>
    </row>
    <row r="2078" spans="1:17" hidden="1" outlineLevel="2">
      <c r="E2078" s="59"/>
      <c r="F2078" s="60"/>
      <c r="G2078" s="34"/>
      <c r="H2078" s="30" t="s">
        <v>3074</v>
      </c>
      <c r="I2078" s="62"/>
      <c r="J2078" s="37"/>
      <c r="K2078" s="38"/>
      <c r="L2078" s="37"/>
      <c r="M2078" s="38"/>
      <c r="N2078" s="33">
        <f>49.2+39.56</f>
        <v>88.76</v>
      </c>
      <c r="O2078" s="58">
        <f>ROUND(PRODUCT(J2078:N2078),2)</f>
        <v>88.76</v>
      </c>
      <c r="P2078" s="185"/>
      <c r="Q2078" s="185"/>
    </row>
    <row r="2079" spans="1:17" hidden="1" outlineLevel="2">
      <c r="E2079" s="59"/>
      <c r="F2079" s="60"/>
      <c r="G2079" s="34"/>
      <c r="H2079" s="30" t="str">
        <f>_xlfn.CONCAT(H2078," - VÃOS")</f>
        <v>FACHADA - VÃOS</v>
      </c>
      <c r="I2079" s="62"/>
      <c r="J2079" s="37">
        <v>-1</v>
      </c>
      <c r="K2079" s="38"/>
      <c r="L2079" s="37"/>
      <c r="M2079" s="38"/>
      <c r="N2079" s="33"/>
      <c r="O2079" s="58">
        <f>ROUND(PRODUCT(J2079:N2079),2)</f>
        <v>-1</v>
      </c>
      <c r="P2079" s="185"/>
      <c r="Q2079" s="185"/>
    </row>
    <row r="2080" spans="1:17" hidden="1" outlineLevel="2">
      <c r="E2080" s="59"/>
      <c r="F2080" s="60"/>
      <c r="G2080" s="34"/>
      <c r="H2080" s="30" t="s">
        <v>3671</v>
      </c>
      <c r="I2080" s="35"/>
      <c r="J2080" s="41"/>
      <c r="K2080" s="41">
        <v>29.48</v>
      </c>
      <c r="L2080" s="41"/>
      <c r="M2080" s="33">
        <v>0.4</v>
      </c>
      <c r="N2080" s="33"/>
      <c r="O2080" s="58">
        <f>ROUND(PRODUCT(J2080:N2080),2)</f>
        <v>11.79</v>
      </c>
      <c r="P2080" s="185"/>
      <c r="Q2080" s="185"/>
    </row>
    <row r="2081" spans="1:17" hidden="1" outlineLevel="2">
      <c r="E2081" s="59"/>
      <c r="F2081" s="60"/>
      <c r="G2081" s="34"/>
      <c r="H2081" s="30" t="s">
        <v>3672</v>
      </c>
      <c r="I2081" s="35"/>
      <c r="J2081" s="41"/>
      <c r="K2081" s="41">
        <v>46.209999999999994</v>
      </c>
      <c r="L2081" s="41"/>
      <c r="M2081" s="33">
        <v>0.4</v>
      </c>
      <c r="N2081" s="33"/>
      <c r="O2081" s="58">
        <f>ROUND(PRODUCT(J2081:N2081),2)</f>
        <v>18.48</v>
      </c>
      <c r="P2081" s="185"/>
      <c r="Q2081" s="185"/>
    </row>
    <row r="2082" spans="1:17" hidden="1" outlineLevel="2">
      <c r="E2082" s="59"/>
      <c r="F2082" s="60"/>
      <c r="G2082" s="34"/>
      <c r="H2082" s="30" t="s">
        <v>3672</v>
      </c>
      <c r="I2082" s="35"/>
      <c r="J2082" s="41"/>
      <c r="K2082" s="41">
        <v>82.58</v>
      </c>
      <c r="L2082" s="41"/>
      <c r="M2082" s="33">
        <v>0.4</v>
      </c>
      <c r="N2082" s="33"/>
      <c r="O2082" s="58">
        <f>ROUND(PRODUCT(J2082:N2082),2)</f>
        <v>33.03</v>
      </c>
      <c r="P2082" s="185"/>
      <c r="Q2082" s="185"/>
    </row>
    <row r="2083" spans="1:17" ht="45" hidden="1" outlineLevel="1">
      <c r="A2083" s="2">
        <v>6</v>
      </c>
      <c r="B2083" s="2">
        <v>7</v>
      </c>
      <c r="C2083" s="2">
        <f>1+C2077</f>
        <v>5</v>
      </c>
      <c r="E2083" s="20" t="str">
        <f>CONCATENATE(A2083,".",B2083,".",C2083)</f>
        <v>6.7.5</v>
      </c>
      <c r="F2083" s="21" t="s">
        <v>3694</v>
      </c>
      <c r="G2083" s="22" t="s">
        <v>271</v>
      </c>
      <c r="H2083" s="23" t="s">
        <v>272</v>
      </c>
      <c r="I2083" s="24" t="s">
        <v>45</v>
      </c>
      <c r="J2083" s="32"/>
      <c r="K2083" s="10"/>
      <c r="L2083" s="32"/>
      <c r="M2083" s="10"/>
      <c r="N2083" s="33"/>
      <c r="O2083" s="11">
        <f>SUM(O2084:O2111)</f>
        <v>820.44</v>
      </c>
      <c r="P2083" s="185"/>
      <c r="Q2083" s="185"/>
    </row>
    <row r="2084" spans="1:17" hidden="1" outlineLevel="2">
      <c r="E2084" s="59"/>
      <c r="F2084" s="60"/>
      <c r="G2084" s="34"/>
      <c r="H2084" s="30" t="s">
        <v>3657</v>
      </c>
      <c r="I2084" s="35"/>
      <c r="J2084" s="41"/>
      <c r="K2084" s="33">
        <v>12.27</v>
      </c>
      <c r="L2084" s="41"/>
      <c r="M2084" s="33">
        <v>2.6</v>
      </c>
      <c r="N2084" s="33"/>
      <c r="O2084" s="58">
        <f t="shared" ref="O2084:O2111" si="66">ROUND(PRODUCT(J2084:N2084),2)</f>
        <v>31.9</v>
      </c>
      <c r="P2084" s="185"/>
      <c r="Q2084" s="185"/>
    </row>
    <row r="2085" spans="1:17" hidden="1" outlineLevel="2">
      <c r="E2085" s="59"/>
      <c r="F2085" s="60"/>
      <c r="G2085" s="34"/>
      <c r="H2085" s="30" t="str">
        <f>_xlfn.CONCAT(H2084," - VÃO")</f>
        <v>DEPOSITO UTENSILIOS - PAREDE - VÃO</v>
      </c>
      <c r="I2085" s="62"/>
      <c r="J2085" s="37">
        <v>-1</v>
      </c>
      <c r="K2085" s="38"/>
      <c r="L2085" s="37"/>
      <c r="M2085" s="38"/>
      <c r="N2085" s="38">
        <f>0.9*1.8+0.9*2.1+2.55*0.66</f>
        <v>5.1930000000000005</v>
      </c>
      <c r="O2085" s="68">
        <f t="shared" si="66"/>
        <v>-5.19</v>
      </c>
      <c r="P2085" s="185"/>
      <c r="Q2085" s="185"/>
    </row>
    <row r="2086" spans="1:17" hidden="1" outlineLevel="2">
      <c r="E2086" s="59"/>
      <c r="F2086" s="60"/>
      <c r="G2086" s="34"/>
      <c r="H2086" s="30" t="s">
        <v>3658</v>
      </c>
      <c r="I2086" s="35"/>
      <c r="J2086" s="41"/>
      <c r="K2086" s="33">
        <v>11.93</v>
      </c>
      <c r="L2086" s="41"/>
      <c r="M2086" s="33">
        <v>2.6</v>
      </c>
      <c r="N2086" s="33"/>
      <c r="O2086" s="58">
        <f t="shared" si="66"/>
        <v>31.02</v>
      </c>
      <c r="P2086" s="185"/>
      <c r="Q2086" s="185"/>
    </row>
    <row r="2087" spans="1:17" hidden="1" outlineLevel="2">
      <c r="E2087" s="59"/>
      <c r="F2087" s="60"/>
      <c r="G2087" s="34"/>
      <c r="H2087" s="30" t="str">
        <f>_xlfn.CONCAT(H2086," - VÃO")</f>
        <v>LAVAGEM PRATOS - PAREDE - VÃO</v>
      </c>
      <c r="I2087" s="62"/>
      <c r="J2087" s="37">
        <v>-1</v>
      </c>
      <c r="K2087" s="38"/>
      <c r="L2087" s="37"/>
      <c r="M2087" s="38"/>
      <c r="N2087" s="38">
        <f>1.3*1.5+3.6*0.6</f>
        <v>4.1100000000000003</v>
      </c>
      <c r="O2087" s="68">
        <f t="shared" si="66"/>
        <v>-4.1100000000000003</v>
      </c>
      <c r="P2087" s="185"/>
      <c r="Q2087" s="185"/>
    </row>
    <row r="2088" spans="1:17" hidden="1" outlineLevel="2">
      <c r="E2088" s="59"/>
      <c r="F2088" s="60"/>
      <c r="G2088" s="34"/>
      <c r="H2088" s="30" t="s">
        <v>3659</v>
      </c>
      <c r="I2088" s="35"/>
      <c r="J2088" s="41"/>
      <c r="K2088" s="33">
        <v>32.69</v>
      </c>
      <c r="L2088" s="41"/>
      <c r="M2088" s="33">
        <v>3.76</v>
      </c>
      <c r="N2088" s="33"/>
      <c r="O2088" s="58">
        <f t="shared" si="66"/>
        <v>122.91</v>
      </c>
      <c r="P2088" s="185"/>
      <c r="Q2088" s="185"/>
    </row>
    <row r="2089" spans="1:17" hidden="1" outlineLevel="2">
      <c r="E2089" s="59"/>
      <c r="F2089" s="60"/>
      <c r="G2089" s="34"/>
      <c r="H2089" s="30" t="str">
        <f>_xlfn.CONCAT(H2088," - VÃO")</f>
        <v>COZINHA - PAREDE - VÃO</v>
      </c>
      <c r="I2089" s="62"/>
      <c r="J2089" s="37">
        <v>-1</v>
      </c>
      <c r="K2089" s="38"/>
      <c r="L2089" s="37"/>
      <c r="M2089" s="38"/>
      <c r="N2089" s="38">
        <f>3.6*0.6+1.3*1.5*2+11*0.6+4.44*1.26</f>
        <v>18.2544</v>
      </c>
      <c r="O2089" s="68">
        <f t="shared" si="66"/>
        <v>-18.25</v>
      </c>
      <c r="P2089" s="185"/>
      <c r="Q2089" s="185"/>
    </row>
    <row r="2090" spans="1:17" hidden="1" outlineLevel="2">
      <c r="E2090" s="59"/>
      <c r="F2090" s="60"/>
      <c r="G2090" s="34"/>
      <c r="H2090" s="30" t="s">
        <v>3660</v>
      </c>
      <c r="I2090" s="35"/>
      <c r="J2090" s="41"/>
      <c r="K2090" s="33">
        <v>14.61</v>
      </c>
      <c r="L2090" s="41"/>
      <c r="M2090" s="33">
        <v>3.76</v>
      </c>
      <c r="N2090" s="33"/>
      <c r="O2090" s="58">
        <f t="shared" si="66"/>
        <v>54.93</v>
      </c>
      <c r="P2090" s="185"/>
      <c r="Q2090" s="185"/>
    </row>
    <row r="2091" spans="1:17" hidden="1" outlineLevel="2">
      <c r="E2091" s="59"/>
      <c r="F2091" s="60"/>
      <c r="G2091" s="34"/>
      <c r="H2091" s="30" t="str">
        <f>_xlfn.CONCAT(H2090," - VÃO")</f>
        <v>DESPENSA FRIA - PAREDE - VÃO</v>
      </c>
      <c r="I2091" s="62"/>
      <c r="J2091" s="37">
        <v>-1</v>
      </c>
      <c r="K2091" s="38"/>
      <c r="L2091" s="37"/>
      <c r="M2091" s="38"/>
      <c r="N2091" s="38">
        <f>1*2.1+2.55+0.66</f>
        <v>5.3100000000000005</v>
      </c>
      <c r="O2091" s="68">
        <f t="shared" si="66"/>
        <v>-5.31</v>
      </c>
      <c r="P2091" s="185"/>
      <c r="Q2091" s="185"/>
    </row>
    <row r="2092" spans="1:17" hidden="1" outlineLevel="2">
      <c r="E2092" s="59"/>
      <c r="F2092" s="60"/>
      <c r="G2092" s="34"/>
      <c r="H2092" s="30" t="s">
        <v>3661</v>
      </c>
      <c r="I2092" s="35"/>
      <c r="J2092" s="41"/>
      <c r="K2092" s="33">
        <v>19.84</v>
      </c>
      <c r="L2092" s="41"/>
      <c r="M2092" s="33">
        <v>3.76</v>
      </c>
      <c r="N2092" s="33"/>
      <c r="O2092" s="58">
        <f t="shared" si="66"/>
        <v>74.599999999999994</v>
      </c>
      <c r="P2092" s="185"/>
      <c r="Q2092" s="185"/>
    </row>
    <row r="2093" spans="1:17" hidden="1" outlineLevel="2">
      <c r="E2093" s="59"/>
      <c r="F2093" s="60"/>
      <c r="G2093" s="34"/>
      <c r="H2093" s="30" t="str">
        <f>_xlfn.CONCAT(H2092," - VÃO")</f>
        <v>DESPENSA SECA - PAREDE - VÃO</v>
      </c>
      <c r="I2093" s="62"/>
      <c r="J2093" s="37">
        <v>-1</v>
      </c>
      <c r="K2093" s="38"/>
      <c r="L2093" s="37"/>
      <c r="M2093" s="38"/>
      <c r="N2093" s="38">
        <f>0.9*2.1+4.44*0.66</f>
        <v>4.8204000000000011</v>
      </c>
      <c r="O2093" s="68">
        <f t="shared" si="66"/>
        <v>-4.82</v>
      </c>
      <c r="P2093" s="185"/>
      <c r="Q2093" s="185"/>
    </row>
    <row r="2094" spans="1:17" hidden="1" outlineLevel="2">
      <c r="E2094" s="59"/>
      <c r="F2094" s="60"/>
      <c r="G2094" s="34"/>
      <c r="H2094" s="30" t="s">
        <v>3662</v>
      </c>
      <c r="I2094" s="35"/>
      <c r="J2094" s="41"/>
      <c r="K2094" s="33">
        <v>18.54</v>
      </c>
      <c r="L2094" s="41"/>
      <c r="M2094" s="33">
        <v>3.76</v>
      </c>
      <c r="N2094" s="33"/>
      <c r="O2094" s="58">
        <f t="shared" si="66"/>
        <v>69.709999999999994</v>
      </c>
      <c r="P2094" s="185"/>
      <c r="Q2094" s="185"/>
    </row>
    <row r="2095" spans="1:17" hidden="1" outlineLevel="2">
      <c r="E2095" s="59"/>
      <c r="F2095" s="60"/>
      <c r="G2095" s="34"/>
      <c r="H2095" s="30" t="str">
        <f>_xlfn.CONCAT(H2094," - VÃO")</f>
        <v>GREMIO  - PAREDE - VÃO</v>
      </c>
      <c r="I2095" s="62"/>
      <c r="J2095" s="37">
        <v>-1</v>
      </c>
      <c r="K2095" s="38"/>
      <c r="L2095" s="37"/>
      <c r="M2095" s="38"/>
      <c r="N2095" s="38">
        <f>1.6*2.1+3.81*0.46</f>
        <v>5.1126000000000005</v>
      </c>
      <c r="O2095" s="68">
        <f t="shared" si="66"/>
        <v>-5.1100000000000003</v>
      </c>
      <c r="P2095" s="185"/>
      <c r="Q2095" s="185"/>
    </row>
    <row r="2096" spans="1:17" hidden="1" outlineLevel="2">
      <c r="E2096" s="59"/>
      <c r="F2096" s="60"/>
      <c r="G2096" s="34"/>
      <c r="H2096" s="30" t="s">
        <v>3663</v>
      </c>
      <c r="I2096" s="35"/>
      <c r="J2096" s="41"/>
      <c r="K2096" s="33">
        <f>5.9+5.9</f>
        <v>11.8</v>
      </c>
      <c r="L2096" s="41"/>
      <c r="M2096" s="33">
        <v>2.6</v>
      </c>
      <c r="N2096" s="33"/>
      <c r="O2096" s="58">
        <f t="shared" si="66"/>
        <v>30.68</v>
      </c>
      <c r="P2096" s="185"/>
      <c r="Q2096" s="185"/>
    </row>
    <row r="2097" spans="1:17" hidden="1" outlineLevel="2">
      <c r="E2097" s="59"/>
      <c r="F2097" s="60"/>
      <c r="G2097" s="34"/>
      <c r="H2097" s="30" t="str">
        <f>_xlfn.CONCAT(H2096," - VÃO")</f>
        <v>WC COZINHA FEM E MASC - PAREDE - VÃO</v>
      </c>
      <c r="I2097" s="62"/>
      <c r="J2097" s="37">
        <v>-1</v>
      </c>
      <c r="K2097" s="38"/>
      <c r="L2097" s="37"/>
      <c r="M2097" s="38"/>
      <c r="N2097" s="38">
        <f>2*0.9*2.1+1.29*0.46*2</f>
        <v>4.9668000000000001</v>
      </c>
      <c r="O2097" s="68">
        <f t="shared" si="66"/>
        <v>-4.97</v>
      </c>
      <c r="P2097" s="185"/>
      <c r="Q2097" s="185"/>
    </row>
    <row r="2098" spans="1:17" hidden="1" outlineLevel="2">
      <c r="E2098" s="59"/>
      <c r="F2098" s="60"/>
      <c r="G2098" s="34"/>
      <c r="H2098" s="30" t="s">
        <v>3664</v>
      </c>
      <c r="I2098" s="35"/>
      <c r="J2098" s="41"/>
      <c r="K2098" s="33">
        <v>9.6999999999999993</v>
      </c>
      <c r="L2098" s="41"/>
      <c r="M2098" s="33">
        <v>2.6</v>
      </c>
      <c r="N2098" s="33"/>
      <c r="O2098" s="58">
        <f t="shared" si="66"/>
        <v>25.22</v>
      </c>
      <c r="P2098" s="185"/>
      <c r="Q2098" s="185"/>
    </row>
    <row r="2099" spans="1:17" hidden="1" outlineLevel="2">
      <c r="E2099" s="59"/>
      <c r="F2099" s="60"/>
      <c r="G2099" s="34"/>
      <c r="H2099" s="30" t="str">
        <f>_xlfn.CONCAT(H2098," - VÃO")</f>
        <v>LAVAGEM PANELAS / CIRCULAÇÃO - PAREDE - VÃO</v>
      </c>
      <c r="I2099" s="62"/>
      <c r="J2099" s="37">
        <v>-1</v>
      </c>
      <c r="K2099" s="38"/>
      <c r="L2099" s="37"/>
      <c r="M2099" s="38"/>
      <c r="N2099" s="38">
        <v>0</v>
      </c>
      <c r="O2099" s="68">
        <f t="shared" si="66"/>
        <v>0</v>
      </c>
      <c r="P2099" s="185"/>
      <c r="Q2099" s="185"/>
    </row>
    <row r="2100" spans="1:17" hidden="1" outlineLevel="2">
      <c r="E2100" s="59"/>
      <c r="F2100" s="60"/>
      <c r="G2100" s="34"/>
      <c r="H2100" s="30" t="s">
        <v>3665</v>
      </c>
      <c r="I2100" s="35"/>
      <c r="J2100" s="41"/>
      <c r="K2100" s="33">
        <f>14.49+7.09</f>
        <v>21.58</v>
      </c>
      <c r="L2100" s="41"/>
      <c r="M2100" s="33">
        <v>3.76</v>
      </c>
      <c r="N2100" s="33"/>
      <c r="O2100" s="58">
        <f t="shared" si="66"/>
        <v>81.14</v>
      </c>
      <c r="P2100" s="185"/>
      <c r="Q2100" s="185"/>
    </row>
    <row r="2101" spans="1:17" hidden="1" outlineLevel="2">
      <c r="E2101" s="59"/>
      <c r="F2101" s="60"/>
      <c r="G2101" s="34"/>
      <c r="H2101" s="30" t="str">
        <f>_xlfn.CONCAT(H2100," - VÃO")</f>
        <v>CIRCULAÇÃO / DML - PAREDE - VÃO</v>
      </c>
      <c r="I2101" s="62"/>
      <c r="J2101" s="37">
        <v>-1</v>
      </c>
      <c r="K2101" s="38"/>
      <c r="L2101" s="37"/>
      <c r="M2101" s="38"/>
      <c r="N2101" s="38">
        <f>2*0.9*2.1+2*1*2.1</f>
        <v>7.98</v>
      </c>
      <c r="O2101" s="68">
        <f t="shared" si="66"/>
        <v>-7.98</v>
      </c>
      <c r="P2101" s="185"/>
      <c r="Q2101" s="185"/>
    </row>
    <row r="2102" spans="1:17" hidden="1" outlineLevel="2">
      <c r="E2102" s="59"/>
      <c r="F2102" s="60"/>
      <c r="G2102" s="34"/>
      <c r="H2102" s="30" t="s">
        <v>3666</v>
      </c>
      <c r="I2102" s="35"/>
      <c r="J2102" s="41"/>
      <c r="K2102" s="33">
        <v>15.26</v>
      </c>
      <c r="L2102" s="41"/>
      <c r="M2102" s="33">
        <v>3.76</v>
      </c>
      <c r="N2102" s="33"/>
      <c r="O2102" s="58">
        <f t="shared" si="66"/>
        <v>57.38</v>
      </c>
      <c r="P2102" s="185"/>
      <c r="Q2102" s="185"/>
    </row>
    <row r="2103" spans="1:17" hidden="1" outlineLevel="2">
      <c r="E2103" s="59"/>
      <c r="F2103" s="60"/>
      <c r="G2103" s="34"/>
      <c r="H2103" s="30" t="str">
        <f>_xlfn.CONCAT(H2102," - VÃO")</f>
        <v>DESPENSA HORTIFRUTTI - PAREDE - VÃO</v>
      </c>
      <c r="I2103" s="62"/>
      <c r="J2103" s="37">
        <v>-1</v>
      </c>
      <c r="K2103" s="38"/>
      <c r="L2103" s="37"/>
      <c r="M2103" s="38"/>
      <c r="N2103" s="38">
        <f>4.44*0.46</f>
        <v>2.0424000000000002</v>
      </c>
      <c r="O2103" s="68">
        <f t="shared" si="66"/>
        <v>-2.04</v>
      </c>
      <c r="P2103" s="185"/>
      <c r="Q2103" s="185"/>
    </row>
    <row r="2104" spans="1:17" hidden="1" outlineLevel="2">
      <c r="E2104" s="59"/>
      <c r="F2104" s="60"/>
      <c r="G2104" s="34"/>
      <c r="H2104" s="30" t="s">
        <v>3667</v>
      </c>
      <c r="I2104" s="35"/>
      <c r="J2104" s="41"/>
      <c r="K2104" s="33">
        <v>23.16</v>
      </c>
      <c r="L2104" s="41"/>
      <c r="M2104" s="33">
        <v>3.76</v>
      </c>
      <c r="N2104" s="33"/>
      <c r="O2104" s="58">
        <f t="shared" si="66"/>
        <v>87.08</v>
      </c>
      <c r="P2104" s="185"/>
      <c r="Q2104" s="185"/>
    </row>
    <row r="2105" spans="1:17" hidden="1" outlineLevel="2">
      <c r="E2105" s="59"/>
      <c r="F2105" s="60"/>
      <c r="G2105" s="34"/>
      <c r="H2105" s="30" t="str">
        <f>_xlfn.CONCAT(H2104," - VÃO")</f>
        <v>DEPOSITO / MANUNT MOBILIARIO - PAREDE - VÃO</v>
      </c>
      <c r="I2105" s="62"/>
      <c r="J2105" s="37">
        <v>-1</v>
      </c>
      <c r="K2105" s="38"/>
      <c r="L2105" s="37"/>
      <c r="M2105" s="38"/>
      <c r="N2105" s="38">
        <f>2*3.15*0.66+1.6*2.1</f>
        <v>7.5180000000000007</v>
      </c>
      <c r="O2105" s="68">
        <f t="shared" si="66"/>
        <v>-7.52</v>
      </c>
      <c r="P2105" s="185"/>
      <c r="Q2105" s="185"/>
    </row>
    <row r="2106" spans="1:17" hidden="1" outlineLevel="2">
      <c r="E2106" s="59"/>
      <c r="F2106" s="60"/>
      <c r="G2106" s="34"/>
      <c r="H2106" s="30" t="s">
        <v>3668</v>
      </c>
      <c r="I2106" s="35"/>
      <c r="J2106" s="41"/>
      <c r="K2106" s="33">
        <f>19.25+19.25</f>
        <v>38.5</v>
      </c>
      <c r="L2106" s="41"/>
      <c r="M2106" s="33">
        <v>2.6</v>
      </c>
      <c r="N2106" s="33"/>
      <c r="O2106" s="58">
        <f t="shared" si="66"/>
        <v>100.1</v>
      </c>
      <c r="P2106" s="185"/>
      <c r="Q2106" s="185"/>
    </row>
    <row r="2107" spans="1:17" hidden="1" outlineLevel="2">
      <c r="E2107" s="59"/>
      <c r="F2107" s="60"/>
      <c r="G2107" s="34"/>
      <c r="H2107" s="30" t="str">
        <f>_xlfn.CONCAT(H2106," - VÃO")</f>
        <v>VEST FUNC FEM / VEST FUNC MASC - PAREDE - VÃO</v>
      </c>
      <c r="I2107" s="62"/>
      <c r="J2107" s="37">
        <v>-1</v>
      </c>
      <c r="K2107" s="38"/>
      <c r="L2107" s="37"/>
      <c r="M2107" s="38"/>
      <c r="N2107" s="38">
        <f>2*0.9*2.1+1.92*0.66+1.92*0.46+2.55*0.66</f>
        <v>7.6134000000000004</v>
      </c>
      <c r="O2107" s="68">
        <f t="shared" si="66"/>
        <v>-7.61</v>
      </c>
      <c r="P2107" s="185"/>
      <c r="Q2107" s="185"/>
    </row>
    <row r="2108" spans="1:17" hidden="1" outlineLevel="2">
      <c r="E2108" s="59"/>
      <c r="F2108" s="60"/>
      <c r="G2108" s="34"/>
      <c r="H2108" s="30" t="s">
        <v>3669</v>
      </c>
      <c r="I2108" s="35"/>
      <c r="J2108" s="41"/>
      <c r="K2108" s="33">
        <v>25.6</v>
      </c>
      <c r="L2108" s="41"/>
      <c r="M2108" s="33">
        <v>3.76</v>
      </c>
      <c r="N2108" s="33"/>
      <c r="O2108" s="58">
        <f t="shared" si="66"/>
        <v>96.26</v>
      </c>
      <c r="P2108" s="185"/>
      <c r="Q2108" s="185"/>
    </row>
    <row r="2109" spans="1:17" hidden="1" outlineLevel="2">
      <c r="E2109" s="59"/>
      <c r="F2109" s="60"/>
      <c r="G2109" s="34"/>
      <c r="H2109" s="30" t="str">
        <f>_xlfn.CONCAT(H2108," - VÃO")</f>
        <v>CARGA E DESCARGA - PAREDE - VÃO</v>
      </c>
      <c r="I2109" s="62"/>
      <c r="J2109" s="37">
        <v>-1</v>
      </c>
      <c r="K2109" s="38"/>
      <c r="L2109" s="37"/>
      <c r="M2109" s="38"/>
      <c r="N2109" s="38">
        <v>0</v>
      </c>
      <c r="O2109" s="68">
        <f t="shared" si="66"/>
        <v>0</v>
      </c>
      <c r="P2109" s="185"/>
      <c r="Q2109" s="185"/>
    </row>
    <row r="2110" spans="1:17" hidden="1" outlineLevel="2">
      <c r="E2110" s="59"/>
      <c r="F2110" s="60"/>
      <c r="G2110" s="34"/>
      <c r="H2110" s="30" t="s">
        <v>3670</v>
      </c>
      <c r="I2110" s="35"/>
      <c r="J2110" s="41"/>
      <c r="K2110" s="33">
        <v>10.1</v>
      </c>
      <c r="L2110" s="41"/>
      <c r="M2110" s="33">
        <v>3.76</v>
      </c>
      <c r="N2110" s="33"/>
      <c r="O2110" s="58">
        <f t="shared" si="66"/>
        <v>37.979999999999997</v>
      </c>
      <c r="P2110" s="185"/>
      <c r="Q2110" s="185"/>
    </row>
    <row r="2111" spans="1:17" hidden="1" outlineLevel="2">
      <c r="E2111" s="59"/>
      <c r="F2111" s="60"/>
      <c r="G2111" s="34"/>
      <c r="H2111" s="30" t="str">
        <f>_xlfn.CONCAT(H2110," - VÃO")</f>
        <v>LIXEIRO- PAREDE - VÃO</v>
      </c>
      <c r="I2111" s="62"/>
      <c r="J2111" s="37">
        <v>-1</v>
      </c>
      <c r="K2111" s="38"/>
      <c r="L2111" s="37"/>
      <c r="M2111" s="38"/>
      <c r="N2111" s="38">
        <f>2*1.8*2.1</f>
        <v>7.5600000000000005</v>
      </c>
      <c r="O2111" s="68">
        <f t="shared" si="66"/>
        <v>-7.56</v>
      </c>
      <c r="P2111" s="185"/>
      <c r="Q2111" s="185"/>
    </row>
    <row r="2112" spans="1:17" hidden="1" outlineLevel="1">
      <c r="A2112" s="2">
        <v>6</v>
      </c>
      <c r="B2112" s="2">
        <v>7</v>
      </c>
      <c r="C2112" s="2">
        <f>1+C2083</f>
        <v>6</v>
      </c>
      <c r="E2112" s="20" t="str">
        <f>CONCATENATE(A2112,".",B2112,".",C2112)</f>
        <v>6.7.6</v>
      </c>
      <c r="F2112" s="21" t="s">
        <v>3695</v>
      </c>
      <c r="G2112" s="22">
        <v>2249</v>
      </c>
      <c r="H2112" s="23" t="s">
        <v>275</v>
      </c>
      <c r="I2112" s="24" t="s">
        <v>45</v>
      </c>
      <c r="J2112" s="32"/>
      <c r="K2112" s="10"/>
      <c r="L2112" s="32"/>
      <c r="M2112" s="10"/>
      <c r="N2112" s="33"/>
      <c r="O2112" s="11">
        <f>SUM(O2113:O2114)</f>
        <v>87.76</v>
      </c>
      <c r="P2112" s="185"/>
      <c r="Q2112" s="185"/>
    </row>
    <row r="2113" spans="1:17" hidden="1" outlineLevel="1">
      <c r="E2113" s="20"/>
      <c r="F2113" s="21"/>
      <c r="G2113" s="34"/>
      <c r="H2113" s="30" t="s">
        <v>3074</v>
      </c>
      <c r="I2113" s="62"/>
      <c r="J2113" s="37"/>
      <c r="K2113" s="38"/>
      <c r="L2113" s="37"/>
      <c r="M2113" s="38"/>
      <c r="N2113" s="33">
        <f>49.2+39.56</f>
        <v>88.76</v>
      </c>
      <c r="O2113" s="58">
        <f>ROUND(PRODUCT(J2113:N2113),2)</f>
        <v>88.76</v>
      </c>
      <c r="P2113" s="185"/>
      <c r="Q2113" s="185"/>
    </row>
    <row r="2114" spans="1:17" hidden="1" outlineLevel="1">
      <c r="E2114" s="20"/>
      <c r="F2114" s="21"/>
      <c r="G2114" s="34"/>
      <c r="H2114" s="30" t="str">
        <f>_xlfn.CONCAT(H2113," - VÃOS")</f>
        <v>FACHADA - VÃOS</v>
      </c>
      <c r="I2114" s="62"/>
      <c r="J2114" s="37">
        <v>-1</v>
      </c>
      <c r="K2114" s="38"/>
      <c r="L2114" s="37"/>
      <c r="M2114" s="38"/>
      <c r="N2114" s="33"/>
      <c r="O2114" s="58">
        <f>ROUND(PRODUCT(J2114:N2114),2)</f>
        <v>-1</v>
      </c>
      <c r="P2114" s="185"/>
      <c r="Q2114" s="185"/>
    </row>
    <row r="2115" spans="1:17" ht="45" hidden="1" outlineLevel="1">
      <c r="A2115" s="2">
        <v>6</v>
      </c>
      <c r="B2115" s="2">
        <v>7</v>
      </c>
      <c r="C2115" s="2">
        <f>1+C2112</f>
        <v>7</v>
      </c>
      <c r="E2115" s="20" t="str">
        <f>CONCATENATE(A2115,".",B2115,".",C2115)</f>
        <v>6.7.7</v>
      </c>
      <c r="F2115" s="21" t="s">
        <v>3696</v>
      </c>
      <c r="G2115" s="22">
        <v>87887</v>
      </c>
      <c r="H2115" s="23" t="s">
        <v>1021</v>
      </c>
      <c r="I2115" s="24" t="s">
        <v>45</v>
      </c>
      <c r="J2115" s="32"/>
      <c r="K2115" s="10"/>
      <c r="L2115" s="32"/>
      <c r="M2115" s="10"/>
      <c r="N2115" s="33"/>
      <c r="O2115" s="11">
        <f>SUM(O2116:O2116)</f>
        <v>253.23</v>
      </c>
      <c r="P2115" s="185"/>
      <c r="Q2115" s="185"/>
    </row>
    <row r="2116" spans="1:17" hidden="1" outlineLevel="2">
      <c r="E2116" s="59"/>
      <c r="F2116" s="60"/>
      <c r="G2116" s="34"/>
      <c r="H2116" s="30"/>
      <c r="I2116" s="62"/>
      <c r="J2116" s="37"/>
      <c r="K2116" s="38"/>
      <c r="L2116" s="37"/>
      <c r="M2116" s="38"/>
      <c r="N2116" s="62">
        <f>O2120</f>
        <v>253.23000000000002</v>
      </c>
      <c r="O2116" s="58">
        <f>ROUND(PRODUCT(J2116:N2116),2)</f>
        <v>253.23</v>
      </c>
      <c r="P2116" s="185"/>
      <c r="Q2116" s="185"/>
    </row>
    <row r="2117" spans="1:17" ht="30" hidden="1" outlineLevel="1">
      <c r="A2117" s="2">
        <v>6</v>
      </c>
      <c r="B2117" s="2">
        <v>7</v>
      </c>
      <c r="C2117" s="2">
        <f>1+C2115</f>
        <v>8</v>
      </c>
      <c r="E2117" s="20" t="str">
        <f>CONCATENATE(A2117,".",B2117,".",C2117)</f>
        <v>6.7.8</v>
      </c>
      <c r="F2117" s="21" t="s">
        <v>3697</v>
      </c>
      <c r="G2117" s="22">
        <v>90406</v>
      </c>
      <c r="H2117" s="23" t="s">
        <v>1024</v>
      </c>
      <c r="I2117" s="24" t="s">
        <v>45</v>
      </c>
      <c r="J2117" s="32"/>
      <c r="K2117" s="10"/>
      <c r="L2117" s="32"/>
      <c r="M2117" s="10"/>
      <c r="N2117" s="33"/>
      <c r="O2117" s="11">
        <f>SUM(O2118:O2118)</f>
        <v>253.23</v>
      </c>
      <c r="P2117" s="185"/>
      <c r="Q2117" s="185"/>
    </row>
    <row r="2118" spans="1:17" hidden="1" outlineLevel="2">
      <c r="E2118" s="59"/>
      <c r="F2118" s="60"/>
      <c r="G2118" s="34"/>
      <c r="H2118" s="30"/>
      <c r="I2118" s="62"/>
      <c r="J2118" s="37"/>
      <c r="K2118" s="38"/>
      <c r="L2118" s="37"/>
      <c r="M2118" s="38"/>
      <c r="N2118" s="62">
        <f>O2120</f>
        <v>253.23000000000002</v>
      </c>
      <c r="O2118" s="58">
        <f>ROUND(PRODUCT(J2118:N2118),2)</f>
        <v>253.23</v>
      </c>
      <c r="P2118" s="185"/>
      <c r="Q2118" s="185"/>
    </row>
    <row r="2119" spans="1:17" collapsed="1">
      <c r="A2119" s="2">
        <v>6</v>
      </c>
      <c r="B2119" s="2">
        <v>8</v>
      </c>
      <c r="E2119" s="42" t="str">
        <f>CONCATENATE(A2119,".",B2119)</f>
        <v>6.8</v>
      </c>
      <c r="F2119" s="45" t="s">
        <v>3698</v>
      </c>
      <c r="G2119" s="13"/>
      <c r="H2119" s="14" t="s">
        <v>294</v>
      </c>
      <c r="I2119" s="15"/>
      <c r="J2119" s="16"/>
      <c r="K2119" s="17"/>
      <c r="L2119" s="16"/>
      <c r="M2119" s="17"/>
      <c r="N2119" s="18"/>
      <c r="O2119" s="61"/>
      <c r="P2119" s="185"/>
      <c r="Q2119" s="185"/>
    </row>
    <row r="2120" spans="1:17" ht="45" hidden="1" outlineLevel="1">
      <c r="A2120" s="2">
        <v>6</v>
      </c>
      <c r="B2120" s="2">
        <v>8</v>
      </c>
      <c r="C2120" s="2">
        <v>1</v>
      </c>
      <c r="E2120" s="20" t="str">
        <f>CONCATENATE(A2120,".",B2120,".",C2120)</f>
        <v>6.8.1</v>
      </c>
      <c r="F2120" s="21" t="s">
        <v>3699</v>
      </c>
      <c r="G2120" s="22">
        <v>2259</v>
      </c>
      <c r="H2120" s="23" t="s">
        <v>3700</v>
      </c>
      <c r="I2120" s="24" t="s">
        <v>45</v>
      </c>
      <c r="J2120" s="32"/>
      <c r="K2120" s="10"/>
      <c r="L2120" s="32"/>
      <c r="M2120" s="10"/>
      <c r="N2120" s="33"/>
      <c r="O2120" s="11">
        <f>SUM(O2121:O2133)</f>
        <v>253.23000000000002</v>
      </c>
      <c r="P2120" s="185"/>
      <c r="Q2120" s="185"/>
    </row>
    <row r="2121" spans="1:17" hidden="1" outlineLevel="2">
      <c r="E2121" s="59"/>
      <c r="F2121" s="21"/>
      <c r="G2121" s="22"/>
      <c r="H2121" s="30" t="s">
        <v>3654</v>
      </c>
      <c r="I2121" s="24"/>
      <c r="J2121" s="41"/>
      <c r="K2121" s="33"/>
      <c r="L2121" s="41"/>
      <c r="M2121" s="33"/>
      <c r="N2121" s="33">
        <v>8.5299999999999994</v>
      </c>
      <c r="O2121" s="58">
        <f t="shared" ref="O2121:O2133" si="67">ROUND(PRODUCT(J2121:N2121),2)</f>
        <v>8.5299999999999994</v>
      </c>
      <c r="P2121" s="185"/>
      <c r="Q2121" s="185"/>
    </row>
    <row r="2122" spans="1:17" hidden="1" outlineLevel="2">
      <c r="E2122" s="59"/>
      <c r="F2122" s="60"/>
      <c r="G2122" s="34"/>
      <c r="H2122" s="30" t="s">
        <v>3609</v>
      </c>
      <c r="I2122" s="35"/>
      <c r="J2122" s="41"/>
      <c r="K2122" s="33"/>
      <c r="L2122" s="41"/>
      <c r="M2122" s="33"/>
      <c r="N2122" s="33">
        <f>10.39+4.2</f>
        <v>14.59</v>
      </c>
      <c r="O2122" s="58">
        <f t="shared" si="67"/>
        <v>14.59</v>
      </c>
      <c r="P2122" s="185"/>
      <c r="Q2122" s="185"/>
    </row>
    <row r="2123" spans="1:17" hidden="1" outlineLevel="2">
      <c r="E2123" s="59"/>
      <c r="F2123" s="60"/>
      <c r="G2123" s="34"/>
      <c r="H2123" s="30" t="s">
        <v>3610</v>
      </c>
      <c r="I2123" s="35"/>
      <c r="J2123" s="41"/>
      <c r="K2123" s="33"/>
      <c r="L2123" s="41"/>
      <c r="M2123" s="33"/>
      <c r="N2123" s="33">
        <v>59.37</v>
      </c>
      <c r="O2123" s="58">
        <f t="shared" si="67"/>
        <v>59.37</v>
      </c>
      <c r="P2123" s="185"/>
      <c r="Q2123" s="185"/>
    </row>
    <row r="2124" spans="1:17" hidden="1" outlineLevel="2">
      <c r="E2124" s="59"/>
      <c r="F2124" s="60"/>
      <c r="G2124" s="34"/>
      <c r="H2124" s="30" t="s">
        <v>3611</v>
      </c>
      <c r="I2124" s="35"/>
      <c r="J2124" s="41"/>
      <c r="K2124" s="33"/>
      <c r="L2124" s="41"/>
      <c r="M2124" s="33"/>
      <c r="N2124" s="33">
        <v>13.14</v>
      </c>
      <c r="O2124" s="58">
        <f t="shared" si="67"/>
        <v>13.14</v>
      </c>
      <c r="P2124" s="185"/>
      <c r="Q2124" s="185"/>
    </row>
    <row r="2125" spans="1:17" hidden="1" outlineLevel="2">
      <c r="E2125" s="59"/>
      <c r="F2125" s="60"/>
      <c r="G2125" s="34"/>
      <c r="H2125" s="30" t="s">
        <v>3612</v>
      </c>
      <c r="I2125" s="35"/>
      <c r="J2125" s="41"/>
      <c r="K2125" s="33"/>
      <c r="L2125" s="41"/>
      <c r="M2125" s="33"/>
      <c r="N2125" s="33">
        <v>24.54</v>
      </c>
      <c r="O2125" s="58">
        <f t="shared" si="67"/>
        <v>24.54</v>
      </c>
      <c r="P2125" s="185"/>
      <c r="Q2125" s="185"/>
    </row>
    <row r="2126" spans="1:17" hidden="1" outlineLevel="2">
      <c r="E2126" s="59"/>
      <c r="F2126" s="60"/>
      <c r="G2126" s="34"/>
      <c r="H2126" s="30" t="s">
        <v>3613</v>
      </c>
      <c r="I2126" s="35"/>
      <c r="J2126" s="41"/>
      <c r="K2126" s="33"/>
      <c r="L2126" s="41"/>
      <c r="M2126" s="33"/>
      <c r="N2126" s="33">
        <v>21.15</v>
      </c>
      <c r="O2126" s="58">
        <f t="shared" si="67"/>
        <v>21.15</v>
      </c>
      <c r="P2126" s="185"/>
      <c r="Q2126" s="185"/>
    </row>
    <row r="2127" spans="1:17" hidden="1" outlineLevel="2">
      <c r="E2127" s="59"/>
      <c r="F2127" s="60"/>
      <c r="G2127" s="34"/>
      <c r="H2127" s="30" t="s">
        <v>3614</v>
      </c>
      <c r="I2127" s="35"/>
      <c r="J2127" s="41"/>
      <c r="K2127" s="33"/>
      <c r="L2127" s="41"/>
      <c r="M2127" s="33"/>
      <c r="N2127" s="33">
        <f>2.17*2</f>
        <v>4.34</v>
      </c>
      <c r="O2127" s="58">
        <f t="shared" si="67"/>
        <v>4.34</v>
      </c>
      <c r="P2127" s="185"/>
      <c r="Q2127" s="185"/>
    </row>
    <row r="2128" spans="1:17" hidden="1" outlineLevel="2">
      <c r="E2128" s="59"/>
      <c r="F2128" s="60"/>
      <c r="G2128" s="34"/>
      <c r="H2128" s="30" t="s">
        <v>3615</v>
      </c>
      <c r="I2128" s="35"/>
      <c r="J2128" s="41"/>
      <c r="K2128" s="33"/>
      <c r="L2128" s="41"/>
      <c r="M2128" s="33"/>
      <c r="N2128" s="33">
        <v>7.99</v>
      </c>
      <c r="O2128" s="58">
        <f t="shared" si="67"/>
        <v>7.99</v>
      </c>
      <c r="P2128" s="185"/>
      <c r="Q2128" s="185"/>
    </row>
    <row r="2129" spans="1:17" hidden="1" outlineLevel="2">
      <c r="E2129" s="59"/>
      <c r="F2129" s="60"/>
      <c r="G2129" s="34"/>
      <c r="H2129" s="30" t="s">
        <v>3616</v>
      </c>
      <c r="I2129" s="35"/>
      <c r="J2129" s="41"/>
      <c r="K2129" s="33"/>
      <c r="L2129" s="41"/>
      <c r="M2129" s="33"/>
      <c r="N2129" s="33">
        <f>8.18+3.13</f>
        <v>11.309999999999999</v>
      </c>
      <c r="O2129" s="58">
        <f t="shared" si="67"/>
        <v>11.31</v>
      </c>
      <c r="P2129" s="185"/>
      <c r="Q2129" s="185"/>
    </row>
    <row r="2130" spans="1:17" hidden="1" outlineLevel="2">
      <c r="E2130" s="59"/>
      <c r="F2130" s="60"/>
      <c r="G2130" s="34"/>
      <c r="H2130" s="30" t="s">
        <v>3617</v>
      </c>
      <c r="I2130" s="35"/>
      <c r="J2130" s="41"/>
      <c r="K2130" s="33"/>
      <c r="L2130" s="41"/>
      <c r="M2130" s="33"/>
      <c r="N2130" s="33">
        <v>13.77</v>
      </c>
      <c r="O2130" s="58">
        <f t="shared" si="67"/>
        <v>13.77</v>
      </c>
      <c r="P2130" s="185"/>
      <c r="Q2130" s="185"/>
    </row>
    <row r="2131" spans="1:17" hidden="1" outlineLevel="2">
      <c r="E2131" s="59"/>
      <c r="F2131" s="60"/>
      <c r="G2131" s="34"/>
      <c r="H2131" s="30" t="s">
        <v>3655</v>
      </c>
      <c r="I2131" s="35"/>
      <c r="J2131" s="41"/>
      <c r="K2131" s="33"/>
      <c r="L2131" s="41"/>
      <c r="M2131" s="33"/>
      <c r="N2131" s="33">
        <v>30.5</v>
      </c>
      <c r="O2131" s="58">
        <f t="shared" si="67"/>
        <v>30.5</v>
      </c>
      <c r="P2131" s="185"/>
      <c r="Q2131" s="185"/>
    </row>
    <row r="2132" spans="1:17" hidden="1" outlineLevel="2">
      <c r="E2132" s="59"/>
      <c r="F2132" s="60"/>
      <c r="G2132" s="34"/>
      <c r="H2132" s="30" t="s">
        <v>3619</v>
      </c>
      <c r="I2132" s="35"/>
      <c r="J2132" s="41"/>
      <c r="K2132" s="33"/>
      <c r="L2132" s="41"/>
      <c r="M2132" s="33"/>
      <c r="N2132" s="33">
        <f>20.24+19.71</f>
        <v>39.950000000000003</v>
      </c>
      <c r="O2132" s="58">
        <f t="shared" si="67"/>
        <v>39.950000000000003</v>
      </c>
      <c r="P2132" s="185"/>
      <c r="Q2132" s="185"/>
    </row>
    <row r="2133" spans="1:17" hidden="1" outlineLevel="2">
      <c r="E2133" s="59"/>
      <c r="F2133" s="60"/>
      <c r="G2133" s="34"/>
      <c r="H2133" s="30" t="s">
        <v>3621</v>
      </c>
      <c r="I2133" s="35"/>
      <c r="J2133" s="41"/>
      <c r="K2133" s="33"/>
      <c r="L2133" s="41"/>
      <c r="M2133" s="33"/>
      <c r="N2133" s="33">
        <v>4.05</v>
      </c>
      <c r="O2133" s="58">
        <f t="shared" si="67"/>
        <v>4.05</v>
      </c>
      <c r="P2133" s="185"/>
      <c r="Q2133" s="185"/>
    </row>
    <row r="2134" spans="1:17" collapsed="1">
      <c r="A2134" s="2">
        <v>6</v>
      </c>
      <c r="B2134" s="2">
        <v>9</v>
      </c>
      <c r="E2134" s="42" t="str">
        <f>CONCATENATE(A2134,".",B2134)</f>
        <v>6.9</v>
      </c>
      <c r="F2134" s="45" t="s">
        <v>3701</v>
      </c>
      <c r="G2134" s="13"/>
      <c r="H2134" s="14" t="s">
        <v>302</v>
      </c>
      <c r="I2134" s="15"/>
      <c r="J2134" s="16"/>
      <c r="K2134" s="17"/>
      <c r="L2134" s="16"/>
      <c r="M2134" s="17"/>
      <c r="N2134" s="18"/>
      <c r="O2134" s="19"/>
      <c r="P2134" s="185"/>
      <c r="Q2134" s="185"/>
    </row>
    <row r="2135" spans="1:17" ht="30" hidden="1" outlineLevel="1">
      <c r="A2135" s="2">
        <v>6</v>
      </c>
      <c r="B2135" s="2">
        <v>9</v>
      </c>
      <c r="C2135" s="2">
        <v>1</v>
      </c>
      <c r="E2135" s="20" t="str">
        <f>CONCATENATE(A2135,".",B2135,".",C2135)</f>
        <v>6.9.1</v>
      </c>
      <c r="F2135" s="21" t="s">
        <v>3702</v>
      </c>
      <c r="G2135" s="22">
        <v>2333</v>
      </c>
      <c r="H2135" s="23" t="s">
        <v>1030</v>
      </c>
      <c r="I2135" s="24" t="s">
        <v>36</v>
      </c>
      <c r="J2135" s="32"/>
      <c r="K2135" s="10"/>
      <c r="L2135" s="32"/>
      <c r="M2135" s="10"/>
      <c r="N2135" s="33"/>
      <c r="O2135" s="11">
        <f>SUM(O2136:O2136)</f>
        <v>1</v>
      </c>
      <c r="P2135" s="185"/>
      <c r="Q2135" s="185"/>
    </row>
    <row r="2136" spans="1:17" hidden="1" outlineLevel="1">
      <c r="E2136" s="59"/>
      <c r="F2136" s="60"/>
      <c r="G2136" s="34"/>
      <c r="H2136" s="30"/>
      <c r="I2136" s="35"/>
      <c r="J2136" s="41"/>
      <c r="K2136" s="33"/>
      <c r="L2136" s="41"/>
      <c r="M2136" s="33"/>
      <c r="N2136" s="33">
        <v>1</v>
      </c>
      <c r="O2136" s="58">
        <f>ROUND(PRODUCT(J2136:N2136),2)</f>
        <v>1</v>
      </c>
      <c r="P2136" s="185"/>
      <c r="Q2136" s="185"/>
    </row>
    <row r="2137" spans="1:17" hidden="1" outlineLevel="1">
      <c r="A2137" s="2">
        <v>6</v>
      </c>
      <c r="B2137" s="2">
        <v>9</v>
      </c>
      <c r="C2137" s="2">
        <f>1+C2135</f>
        <v>2</v>
      </c>
      <c r="E2137" s="20" t="str">
        <f>CONCATENATE(A2137,".",B2137,".",C2137)</f>
        <v>6.9.2</v>
      </c>
      <c r="F2137" s="21" t="s">
        <v>3703</v>
      </c>
      <c r="G2137" s="22">
        <v>2325</v>
      </c>
      <c r="H2137" s="23" t="s">
        <v>1033</v>
      </c>
      <c r="I2137" s="24" t="s">
        <v>45</v>
      </c>
      <c r="J2137" s="32"/>
      <c r="K2137" s="10"/>
      <c r="L2137" s="32"/>
      <c r="M2137" s="10"/>
      <c r="N2137" s="33"/>
      <c r="O2137" s="11">
        <f>SUM(O2138:O2140)</f>
        <v>13.7</v>
      </c>
      <c r="P2137" s="185"/>
      <c r="Q2137" s="185"/>
    </row>
    <row r="2138" spans="1:17" hidden="1" outlineLevel="1">
      <c r="E2138" s="59"/>
      <c r="F2138" s="60"/>
      <c r="G2138" s="34"/>
      <c r="H2138" s="69" t="s">
        <v>3704</v>
      </c>
      <c r="I2138" s="35"/>
      <c r="J2138" s="41"/>
      <c r="K2138" s="33">
        <v>2</v>
      </c>
      <c r="L2138" s="41">
        <v>3.4</v>
      </c>
      <c r="M2138" s="33"/>
      <c r="N2138" s="33">
        <v>1</v>
      </c>
      <c r="O2138" s="58">
        <f>ROUND(PRODUCT(J2138:N2138),2)</f>
        <v>6.8</v>
      </c>
      <c r="P2138" s="185"/>
      <c r="Q2138" s="185"/>
    </row>
    <row r="2139" spans="1:17" hidden="1" outlineLevel="1">
      <c r="E2139" s="59"/>
      <c r="F2139" s="60"/>
      <c r="G2139" s="34"/>
      <c r="H2139" s="69" t="s">
        <v>3705</v>
      </c>
      <c r="I2139" s="35"/>
      <c r="J2139" s="41"/>
      <c r="K2139" s="33">
        <v>0.9</v>
      </c>
      <c r="L2139" s="41">
        <v>1.8</v>
      </c>
      <c r="M2139" s="33"/>
      <c r="N2139" s="33">
        <v>1</v>
      </c>
      <c r="O2139" s="58">
        <f>ROUND(PRODUCT(J2139:N2139),2)</f>
        <v>1.62</v>
      </c>
      <c r="P2139" s="185"/>
      <c r="Q2139" s="185"/>
    </row>
    <row r="2140" spans="1:17" hidden="1" outlineLevel="1">
      <c r="E2140" s="59"/>
      <c r="F2140" s="60"/>
      <c r="G2140" s="34"/>
      <c r="H2140" s="69" t="s">
        <v>3706</v>
      </c>
      <c r="I2140" s="35"/>
      <c r="J2140" s="41"/>
      <c r="K2140" s="33">
        <v>2.2000000000000002</v>
      </c>
      <c r="L2140" s="41">
        <v>2.4</v>
      </c>
      <c r="M2140" s="33"/>
      <c r="N2140" s="33">
        <v>1</v>
      </c>
      <c r="O2140" s="58">
        <f>ROUND(PRODUCT(J2140:N2140),2)</f>
        <v>5.28</v>
      </c>
      <c r="P2140" s="185"/>
      <c r="Q2140" s="185"/>
    </row>
    <row r="2141" spans="1:17" ht="60" hidden="1" outlineLevel="1">
      <c r="A2141" s="2">
        <v>6</v>
      </c>
      <c r="B2141" s="2">
        <v>9</v>
      </c>
      <c r="C2141" s="2">
        <f>1+C2137</f>
        <v>3</v>
      </c>
      <c r="E2141" s="20" t="str">
        <f>CONCATENATE(A2141,".",B2141,".",C2141)</f>
        <v>6.9.3</v>
      </c>
      <c r="F2141" s="21" t="s">
        <v>3707</v>
      </c>
      <c r="G2141" s="22">
        <v>94559</v>
      </c>
      <c r="H2141" s="23" t="s">
        <v>3147</v>
      </c>
      <c r="I2141" s="24" t="s">
        <v>45</v>
      </c>
      <c r="J2141" s="32"/>
      <c r="K2141" s="10"/>
      <c r="L2141" s="32"/>
      <c r="M2141" s="10"/>
      <c r="N2141" s="33"/>
      <c r="O2141" s="11">
        <f>SUM(O2142:O2150)</f>
        <v>24.86</v>
      </c>
      <c r="P2141" s="185"/>
      <c r="Q2141" s="185"/>
    </row>
    <row r="2142" spans="1:17" hidden="1" outlineLevel="1">
      <c r="E2142" s="59"/>
      <c r="F2142" s="60"/>
      <c r="G2142" s="34"/>
      <c r="H2142" s="70"/>
      <c r="I2142" s="35"/>
      <c r="J2142" s="41"/>
      <c r="K2142" s="33">
        <v>1.29</v>
      </c>
      <c r="L2142" s="41"/>
      <c r="M2142" s="33">
        <v>0.46</v>
      </c>
      <c r="N2142" s="33">
        <v>2</v>
      </c>
      <c r="O2142" s="58">
        <f t="shared" ref="O2142:O2150" si="68">ROUND(PRODUCT(J2142:N2142),2)</f>
        <v>1.19</v>
      </c>
      <c r="P2142" s="185"/>
      <c r="Q2142" s="185"/>
    </row>
    <row r="2143" spans="1:17" hidden="1" outlineLevel="1">
      <c r="E2143" s="59"/>
      <c r="F2143" s="60"/>
      <c r="G2143" s="34"/>
      <c r="H2143" s="70"/>
      <c r="I2143" s="35"/>
      <c r="J2143" s="41"/>
      <c r="K2143" s="33">
        <v>1.92</v>
      </c>
      <c r="L2143" s="41"/>
      <c r="M2143" s="33">
        <v>0.66</v>
      </c>
      <c r="N2143" s="33">
        <v>1</v>
      </c>
      <c r="O2143" s="58">
        <f t="shared" si="68"/>
        <v>1.27</v>
      </c>
      <c r="P2143" s="185"/>
      <c r="Q2143" s="185"/>
    </row>
    <row r="2144" spans="1:17" hidden="1" outlineLevel="1">
      <c r="E2144" s="59"/>
      <c r="F2144" s="60"/>
      <c r="G2144" s="34"/>
      <c r="H2144" s="70"/>
      <c r="I2144" s="35"/>
      <c r="J2144" s="41"/>
      <c r="K2144" s="33">
        <v>1.92</v>
      </c>
      <c r="L2144" s="41"/>
      <c r="M2144" s="33">
        <v>0.46</v>
      </c>
      <c r="N2144" s="33">
        <v>1</v>
      </c>
      <c r="O2144" s="58">
        <f t="shared" si="68"/>
        <v>0.88</v>
      </c>
      <c r="P2144" s="185"/>
      <c r="Q2144" s="185"/>
    </row>
    <row r="2145" spans="1:17" hidden="1" outlineLevel="1">
      <c r="E2145" s="59"/>
      <c r="F2145" s="60"/>
      <c r="G2145" s="34"/>
      <c r="H2145" s="70"/>
      <c r="I2145" s="35"/>
      <c r="J2145" s="41"/>
      <c r="K2145" s="33">
        <v>3.81</v>
      </c>
      <c r="L2145" s="41"/>
      <c r="M2145" s="33">
        <v>0.46</v>
      </c>
      <c r="N2145" s="33">
        <v>1</v>
      </c>
      <c r="O2145" s="58">
        <f t="shared" si="68"/>
        <v>1.75</v>
      </c>
      <c r="P2145" s="185"/>
      <c r="Q2145" s="185"/>
    </row>
    <row r="2146" spans="1:17" hidden="1" outlineLevel="1">
      <c r="E2146" s="59"/>
      <c r="F2146" s="60"/>
      <c r="G2146" s="34"/>
      <c r="H2146" s="70"/>
      <c r="I2146" s="35"/>
      <c r="J2146" s="41"/>
      <c r="K2146" s="33">
        <v>4.4400000000000004</v>
      </c>
      <c r="L2146" s="41"/>
      <c r="M2146" s="33">
        <v>1.26</v>
      </c>
      <c r="N2146" s="33">
        <v>1</v>
      </c>
      <c r="O2146" s="58">
        <f t="shared" si="68"/>
        <v>5.59</v>
      </c>
      <c r="P2146" s="185"/>
      <c r="Q2146" s="185"/>
    </row>
    <row r="2147" spans="1:17" hidden="1" outlineLevel="1">
      <c r="E2147" s="59"/>
      <c r="F2147" s="60"/>
      <c r="G2147" s="34"/>
      <c r="H2147" s="70"/>
      <c r="I2147" s="35"/>
      <c r="J2147" s="41"/>
      <c r="K2147" s="33">
        <v>3.15</v>
      </c>
      <c r="L2147" s="41"/>
      <c r="M2147" s="33">
        <v>0.66</v>
      </c>
      <c r="N2147" s="33">
        <v>2</v>
      </c>
      <c r="O2147" s="58">
        <f t="shared" si="68"/>
        <v>4.16</v>
      </c>
      <c r="P2147" s="185"/>
      <c r="Q2147" s="185"/>
    </row>
    <row r="2148" spans="1:17" hidden="1" outlineLevel="1">
      <c r="E2148" s="59"/>
      <c r="F2148" s="60"/>
      <c r="G2148" s="34"/>
      <c r="H2148" s="70"/>
      <c r="I2148" s="35"/>
      <c r="J2148" s="41"/>
      <c r="K2148" s="33">
        <v>2.5499999999999998</v>
      </c>
      <c r="L2148" s="41"/>
      <c r="M2148" s="33">
        <v>0.66</v>
      </c>
      <c r="N2148" s="33">
        <v>3</v>
      </c>
      <c r="O2148" s="58">
        <f t="shared" si="68"/>
        <v>5.05</v>
      </c>
      <c r="P2148" s="185"/>
      <c r="Q2148" s="185"/>
    </row>
    <row r="2149" spans="1:17" hidden="1" outlineLevel="1">
      <c r="E2149" s="59"/>
      <c r="F2149" s="60"/>
      <c r="G2149" s="34"/>
      <c r="H2149" s="70"/>
      <c r="I2149" s="35"/>
      <c r="J2149" s="41"/>
      <c r="K2149" s="33">
        <v>4.4400000000000004</v>
      </c>
      <c r="L2149" s="41"/>
      <c r="M2149" s="33">
        <v>0.66</v>
      </c>
      <c r="N2149" s="33">
        <v>1</v>
      </c>
      <c r="O2149" s="58">
        <f t="shared" si="68"/>
        <v>2.93</v>
      </c>
      <c r="P2149" s="185"/>
      <c r="Q2149" s="185"/>
    </row>
    <row r="2150" spans="1:17" hidden="1" outlineLevel="1">
      <c r="E2150" s="59"/>
      <c r="F2150" s="60"/>
      <c r="G2150" s="34"/>
      <c r="H2150" s="70"/>
      <c r="I2150" s="35"/>
      <c r="J2150" s="41"/>
      <c r="K2150" s="33">
        <v>4.4400000000000004</v>
      </c>
      <c r="L2150" s="41"/>
      <c r="M2150" s="33">
        <v>0.46</v>
      </c>
      <c r="N2150" s="33">
        <v>1</v>
      </c>
      <c r="O2150" s="58">
        <f t="shared" si="68"/>
        <v>2.04</v>
      </c>
      <c r="P2150" s="185"/>
      <c r="Q2150" s="185"/>
    </row>
    <row r="2151" spans="1:17" ht="30" hidden="1" outlineLevel="1">
      <c r="A2151" s="2">
        <v>6</v>
      </c>
      <c r="B2151" s="2">
        <v>9</v>
      </c>
      <c r="C2151" s="2">
        <f>1+C2141</f>
        <v>4</v>
      </c>
      <c r="E2151" s="20" t="str">
        <f>CONCATENATE(A2151,".",B2151,".",C2151)</f>
        <v>6.9.4</v>
      </c>
      <c r="F2151" s="21" t="s">
        <v>3708</v>
      </c>
      <c r="G2151" s="22">
        <v>91338</v>
      </c>
      <c r="H2151" s="23" t="s">
        <v>3709</v>
      </c>
      <c r="I2151" s="24" t="s">
        <v>45</v>
      </c>
      <c r="J2151" s="32"/>
      <c r="K2151" s="10"/>
      <c r="L2151" s="32"/>
      <c r="M2151" s="10"/>
      <c r="N2151" s="33"/>
      <c r="O2151" s="11">
        <f>SUM(O2152:O2152)</f>
        <v>14.4</v>
      </c>
      <c r="P2151" s="185"/>
      <c r="Q2151" s="185"/>
    </row>
    <row r="2152" spans="1:17" hidden="1" outlineLevel="1">
      <c r="E2152" s="59"/>
      <c r="F2152" s="60"/>
      <c r="G2152" s="34"/>
      <c r="H2152" s="30"/>
      <c r="I2152" s="35"/>
      <c r="J2152" s="41"/>
      <c r="K2152" s="33">
        <v>0.8</v>
      </c>
      <c r="L2152" s="41">
        <v>1.8</v>
      </c>
      <c r="M2152" s="33"/>
      <c r="N2152" s="33">
        <v>10</v>
      </c>
      <c r="O2152" s="58">
        <f>ROUND(PRODUCT(J2152:N2152),2)</f>
        <v>14.4</v>
      </c>
      <c r="P2152" s="185"/>
      <c r="Q2152" s="185"/>
    </row>
    <row r="2153" spans="1:17" ht="30" hidden="1" outlineLevel="1">
      <c r="A2153" s="2">
        <v>6</v>
      </c>
      <c r="B2153" s="2">
        <v>9</v>
      </c>
      <c r="C2153" s="2">
        <f>1+C2151</f>
        <v>5</v>
      </c>
      <c r="E2153" s="20" t="str">
        <f>CONCATENATE(A2153,".",B2153,".",C2153)</f>
        <v>6.9.5</v>
      </c>
      <c r="F2153" s="21" t="s">
        <v>3710</v>
      </c>
      <c r="G2153" s="22">
        <v>91341</v>
      </c>
      <c r="H2153" s="23" t="s">
        <v>332</v>
      </c>
      <c r="I2153" s="24" t="s">
        <v>45</v>
      </c>
      <c r="J2153" s="32"/>
      <c r="K2153" s="10"/>
      <c r="L2153" s="32"/>
      <c r="M2153" s="10"/>
      <c r="N2153" s="33"/>
      <c r="O2153" s="11">
        <f>SUM(O2154:O2154)</f>
        <v>17.010000000000002</v>
      </c>
      <c r="P2153" s="185"/>
      <c r="Q2153" s="185"/>
    </row>
    <row r="2154" spans="1:17" hidden="1" outlineLevel="1">
      <c r="E2154" s="59"/>
      <c r="F2154" s="60"/>
      <c r="G2154" s="34"/>
      <c r="H2154" s="30"/>
      <c r="I2154" s="35"/>
      <c r="J2154" s="41"/>
      <c r="K2154" s="33">
        <v>0.9</v>
      </c>
      <c r="L2154" s="41">
        <v>2.1</v>
      </c>
      <c r="M2154" s="33"/>
      <c r="N2154" s="33">
        <v>9</v>
      </c>
      <c r="O2154" s="58">
        <f>ROUND(PRODUCT(J2154:N2154),2)</f>
        <v>17.010000000000002</v>
      </c>
      <c r="P2154" s="185"/>
      <c r="Q2154" s="185"/>
    </row>
    <row r="2155" spans="1:17" ht="45" hidden="1" outlineLevel="1">
      <c r="E2155" s="59"/>
      <c r="F2155" s="21" t="s">
        <v>3711</v>
      </c>
      <c r="G2155" s="22">
        <v>2308</v>
      </c>
      <c r="H2155" s="23" t="s">
        <v>329</v>
      </c>
      <c r="I2155" s="24" t="s">
        <v>36</v>
      </c>
      <c r="J2155" s="32"/>
      <c r="K2155" s="10"/>
      <c r="L2155" s="32"/>
      <c r="M2155" s="10"/>
      <c r="N2155" s="33"/>
      <c r="O2155" s="11">
        <f>SUM(O2156:O2156)</f>
        <v>1</v>
      </c>
      <c r="P2155" s="185"/>
      <c r="Q2155" s="185"/>
    </row>
    <row r="2156" spans="1:17" hidden="1" outlineLevel="1">
      <c r="E2156" s="59"/>
      <c r="F2156" s="60"/>
      <c r="G2156" s="34"/>
      <c r="H2156" s="30"/>
      <c r="I2156" s="35"/>
      <c r="J2156" s="41"/>
      <c r="K2156" s="33"/>
      <c r="L2156" s="41"/>
      <c r="M2156" s="33"/>
      <c r="N2156" s="33">
        <v>1</v>
      </c>
      <c r="O2156" s="58">
        <f>ROUND(PRODUCT(J2156:N2156),2)</f>
        <v>1</v>
      </c>
      <c r="P2156" s="185"/>
      <c r="Q2156" s="185"/>
    </row>
    <row r="2157" spans="1:17" hidden="1" outlineLevel="1">
      <c r="E2157" s="59"/>
      <c r="F2157" s="21" t="s">
        <v>3712</v>
      </c>
      <c r="G2157" s="22">
        <v>100701</v>
      </c>
      <c r="H2157" s="23" t="s">
        <v>1042</v>
      </c>
      <c r="I2157" s="24" t="s">
        <v>45</v>
      </c>
      <c r="J2157" s="32"/>
      <c r="K2157" s="10"/>
      <c r="L2157" s="32"/>
      <c r="M2157" s="10"/>
      <c r="N2157" s="33"/>
      <c r="O2157" s="11">
        <f>SUM(O2158:O2158)</f>
        <v>7.56</v>
      </c>
      <c r="P2157" s="185"/>
      <c r="Q2157" s="185"/>
    </row>
    <row r="2158" spans="1:17" hidden="1" outlineLevel="1">
      <c r="E2158" s="59"/>
      <c r="F2158" s="60"/>
      <c r="G2158" s="34"/>
      <c r="H2158" s="30"/>
      <c r="I2158" s="35"/>
      <c r="J2158" s="41"/>
      <c r="K2158" s="33">
        <v>1.8</v>
      </c>
      <c r="L2158" s="41">
        <v>2.1</v>
      </c>
      <c r="M2158" s="33"/>
      <c r="N2158" s="33">
        <v>2</v>
      </c>
      <c r="O2158" s="58">
        <f>ROUND(PRODUCT(J2158:N2158),2)</f>
        <v>7.56</v>
      </c>
      <c r="P2158" s="185"/>
      <c r="Q2158" s="185"/>
    </row>
    <row r="2159" spans="1:17" ht="30" hidden="1" outlineLevel="1">
      <c r="E2159" s="59"/>
      <c r="F2159" s="21" t="s">
        <v>3713</v>
      </c>
      <c r="G2159" s="22">
        <v>2304</v>
      </c>
      <c r="H2159" s="23" t="s">
        <v>311</v>
      </c>
      <c r="I2159" s="24" t="s">
        <v>36</v>
      </c>
      <c r="J2159" s="32"/>
      <c r="K2159" s="10"/>
      <c r="L2159" s="32"/>
      <c r="M2159" s="10"/>
      <c r="N2159" s="33"/>
      <c r="O2159" s="11">
        <f>SUM(O2160:O2160)</f>
        <v>3</v>
      </c>
      <c r="P2159" s="185"/>
      <c r="Q2159" s="185"/>
    </row>
    <row r="2160" spans="1:17" hidden="1" outlineLevel="1">
      <c r="E2160" s="59"/>
      <c r="F2160" s="60"/>
      <c r="G2160" s="34"/>
      <c r="H2160" s="30"/>
      <c r="I2160" s="35"/>
      <c r="J2160" s="41"/>
      <c r="K2160" s="33"/>
      <c r="L2160" s="41"/>
      <c r="M2160" s="33"/>
      <c r="N2160" s="33">
        <v>3</v>
      </c>
      <c r="O2160" s="58">
        <f>ROUND(PRODUCT(J2160:N2160),2)</f>
        <v>3</v>
      </c>
      <c r="P2160" s="185"/>
      <c r="Q2160" s="185"/>
    </row>
    <row r="2161" spans="1:17" collapsed="1">
      <c r="A2161" s="2">
        <v>6</v>
      </c>
      <c r="B2161" s="2">
        <v>10</v>
      </c>
      <c r="E2161" s="42" t="str">
        <f>CONCATENATE(A2161,".",B2161)</f>
        <v>6.10</v>
      </c>
      <c r="F2161" s="45" t="s">
        <v>3714</v>
      </c>
      <c r="G2161" s="13"/>
      <c r="H2161" s="14" t="s">
        <v>349</v>
      </c>
      <c r="I2161" s="15"/>
      <c r="J2161" s="16"/>
      <c r="K2161" s="17"/>
      <c r="L2161" s="16"/>
      <c r="M2161" s="17"/>
      <c r="N2161" s="18"/>
      <c r="O2161" s="61"/>
      <c r="P2161" s="185"/>
      <c r="Q2161" s="185"/>
    </row>
    <row r="2162" spans="1:17" hidden="1" outlineLevel="1">
      <c r="A2162" s="2">
        <v>6</v>
      </c>
      <c r="B2162" s="2">
        <v>10</v>
      </c>
      <c r="C2162" s="2" t="e">
        <f>1+#REF!</f>
        <v>#REF!</v>
      </c>
      <c r="E2162" s="20" t="e">
        <f>CONCATENATE(A2162,".",B2162,".",C2162)</f>
        <v>#REF!</v>
      </c>
      <c r="F2162" s="21" t="s">
        <v>3715</v>
      </c>
      <c r="G2162" s="22" t="s">
        <v>360</v>
      </c>
      <c r="H2162" s="23" t="s">
        <v>361</v>
      </c>
      <c r="I2162" s="24" t="s">
        <v>45</v>
      </c>
      <c r="J2162" s="32"/>
      <c r="K2162" s="10"/>
      <c r="L2162" s="32"/>
      <c r="M2162" s="10"/>
      <c r="N2162" s="33"/>
      <c r="O2162" s="11">
        <f>SUM(O2163:O2163)</f>
        <v>50.95</v>
      </c>
      <c r="P2162" s="185"/>
      <c r="Q2162" s="185"/>
    </row>
    <row r="2163" spans="1:17" hidden="1" outlineLevel="2">
      <c r="E2163" s="59"/>
      <c r="F2163" s="60"/>
      <c r="G2163" s="34"/>
      <c r="H2163" s="30" t="s">
        <v>3620</v>
      </c>
      <c r="I2163" s="35"/>
      <c r="J2163" s="41"/>
      <c r="K2163" s="33"/>
      <c r="L2163" s="41"/>
      <c r="M2163" s="33"/>
      <c r="N2163" s="33">
        <v>50.95</v>
      </c>
      <c r="O2163" s="58">
        <f>ROUND(PRODUCT(J2163:N2163),2)</f>
        <v>50.95</v>
      </c>
      <c r="P2163" s="185"/>
      <c r="Q2163" s="185"/>
    </row>
    <row r="2164" spans="1:17" ht="30" hidden="1" outlineLevel="1">
      <c r="A2164" s="2">
        <v>6</v>
      </c>
      <c r="B2164" s="2">
        <v>10</v>
      </c>
      <c r="C2164" s="2" t="e">
        <f>1+C2162</f>
        <v>#REF!</v>
      </c>
      <c r="E2164" s="20" t="e">
        <f>CONCATENATE(A2164,".",B2164,".",C2164)</f>
        <v>#REF!</v>
      </c>
      <c r="F2164" s="21" t="s">
        <v>3716</v>
      </c>
      <c r="G2164" s="22" t="s">
        <v>363</v>
      </c>
      <c r="H2164" s="23" t="s">
        <v>364</v>
      </c>
      <c r="I2164" s="24" t="s">
        <v>45</v>
      </c>
      <c r="J2164" s="32"/>
      <c r="K2164" s="10"/>
      <c r="L2164" s="32"/>
      <c r="M2164" s="10"/>
      <c r="N2164" s="33"/>
      <c r="O2164" s="11">
        <f>SUM(O2165:O2165)</f>
        <v>50.95</v>
      </c>
      <c r="P2164" s="185"/>
      <c r="Q2164" s="185"/>
    </row>
    <row r="2165" spans="1:17" hidden="1" outlineLevel="2">
      <c r="E2165" s="59"/>
      <c r="F2165" s="60"/>
      <c r="G2165" s="34"/>
      <c r="H2165" s="30" t="s">
        <v>3620</v>
      </c>
      <c r="I2165" s="35"/>
      <c r="J2165" s="41"/>
      <c r="K2165" s="33"/>
      <c r="L2165" s="41"/>
      <c r="M2165" s="33"/>
      <c r="N2165" s="33">
        <v>50.95</v>
      </c>
      <c r="O2165" s="58">
        <f>ROUND(PRODUCT(J2165:N2165),2)</f>
        <v>50.95</v>
      </c>
      <c r="P2165" s="185"/>
      <c r="Q2165" s="185"/>
    </row>
    <row r="2166" spans="1:17" ht="30" hidden="1" outlineLevel="1">
      <c r="A2166" s="2">
        <v>6</v>
      </c>
      <c r="B2166" s="2">
        <v>10</v>
      </c>
      <c r="C2166" s="2" t="e">
        <f>1+C2164</f>
        <v>#REF!</v>
      </c>
      <c r="E2166" s="20" t="e">
        <f>CONCATENATE(A2166,".",B2166,".",C2166)</f>
        <v>#REF!</v>
      </c>
      <c r="F2166" s="21" t="s">
        <v>3717</v>
      </c>
      <c r="G2166" s="22" t="s">
        <v>366</v>
      </c>
      <c r="H2166" s="23" t="s">
        <v>367</v>
      </c>
      <c r="I2166" s="24" t="s">
        <v>45</v>
      </c>
      <c r="J2166" s="32"/>
      <c r="K2166" s="10"/>
      <c r="L2166" s="32"/>
      <c r="M2166" s="10"/>
      <c r="N2166" s="33"/>
      <c r="O2166" s="11">
        <f>SUM(O2167:O2167)</f>
        <v>50.95</v>
      </c>
      <c r="P2166" s="185"/>
      <c r="Q2166" s="185"/>
    </row>
    <row r="2167" spans="1:17" hidden="1" outlineLevel="2">
      <c r="E2167" s="59"/>
      <c r="F2167" s="60"/>
      <c r="G2167" s="34"/>
      <c r="H2167" s="30" t="s">
        <v>3620</v>
      </c>
      <c r="I2167" s="35"/>
      <c r="J2167" s="41"/>
      <c r="K2167" s="33"/>
      <c r="L2167" s="41"/>
      <c r="M2167" s="33"/>
      <c r="N2167" s="33">
        <v>50.95</v>
      </c>
      <c r="O2167" s="58">
        <f>ROUND(PRODUCT(J2167:N2167),2)</f>
        <v>50.95</v>
      </c>
      <c r="P2167" s="185"/>
      <c r="Q2167" s="185"/>
    </row>
    <row r="2168" spans="1:17" collapsed="1">
      <c r="A2168" s="2">
        <v>6</v>
      </c>
      <c r="B2168" s="2">
        <v>11</v>
      </c>
      <c r="E2168" s="42" t="str">
        <f>CONCATENATE(A2168,".",B2168)</f>
        <v>6.11</v>
      </c>
      <c r="F2168" s="108" t="s">
        <v>3718</v>
      </c>
      <c r="G2168" s="98"/>
      <c r="H2168" s="99" t="s">
        <v>468</v>
      </c>
      <c r="I2168" s="15"/>
      <c r="J2168" s="16"/>
      <c r="K2168" s="17"/>
      <c r="L2168" s="16"/>
      <c r="M2168" s="17"/>
      <c r="N2168" s="18" t="s">
        <v>3719</v>
      </c>
      <c r="O2168" s="61"/>
      <c r="P2168" s="185"/>
      <c r="Q2168" s="185"/>
    </row>
    <row r="2169" spans="1:17" ht="30" hidden="1" outlineLevel="1">
      <c r="A2169" s="2">
        <v>6</v>
      </c>
      <c r="B2169" s="2">
        <v>11</v>
      </c>
      <c r="C2169" s="2">
        <v>1</v>
      </c>
      <c r="E2169" s="20" t="str">
        <f>CONCATENATE(A2169,".",B2169,".",C2169)</f>
        <v>6.11.1</v>
      </c>
      <c r="F2169" s="21" t="s">
        <v>3720</v>
      </c>
      <c r="G2169" s="65">
        <v>91939</v>
      </c>
      <c r="H2169" s="23" t="s">
        <v>2353</v>
      </c>
      <c r="I2169" s="24" t="s">
        <v>36</v>
      </c>
      <c r="J2169" s="32"/>
      <c r="K2169" s="10"/>
      <c r="L2169" s="32"/>
      <c r="M2169" s="10"/>
      <c r="N2169" s="33"/>
      <c r="O2169" s="11">
        <f>SUM(O2170)</f>
        <v>174</v>
      </c>
    </row>
    <row r="2170" spans="1:17" hidden="1" outlineLevel="2">
      <c r="E2170" s="20"/>
      <c r="F2170" s="21"/>
      <c r="G2170" s="65"/>
      <c r="H2170" s="23"/>
      <c r="I2170" s="24"/>
      <c r="J2170" s="32"/>
      <c r="K2170" s="64"/>
      <c r="L2170" s="32"/>
      <c r="M2170" s="10"/>
      <c r="N2170" s="33">
        <f>4+170</f>
        <v>174</v>
      </c>
      <c r="O2170" s="58">
        <f>ROUND(PRODUCT(J2170:N2170),2)</f>
        <v>174</v>
      </c>
    </row>
    <row r="2171" spans="1:17" ht="30" hidden="1" outlineLevel="1">
      <c r="A2171" s="2">
        <v>6</v>
      </c>
      <c r="B2171" s="2">
        <v>11</v>
      </c>
      <c r="C2171" s="2">
        <f>1+C2169</f>
        <v>2</v>
      </c>
      <c r="E2171" s="20" t="str">
        <f>CONCATENATE(A2171,".",B2171,".",C2171)</f>
        <v>6.11.2</v>
      </c>
      <c r="F2171" s="21" t="s">
        <v>3721</v>
      </c>
      <c r="G2171" s="65">
        <v>91942</v>
      </c>
      <c r="H2171" s="23" t="s">
        <v>2608</v>
      </c>
      <c r="I2171" s="24" t="s">
        <v>36</v>
      </c>
      <c r="J2171" s="32"/>
      <c r="K2171" s="10"/>
      <c r="L2171" s="32"/>
      <c r="M2171" s="10"/>
      <c r="N2171" s="33"/>
      <c r="O2171" s="11">
        <f>SUM(O2172)</f>
        <v>2</v>
      </c>
    </row>
    <row r="2172" spans="1:17" hidden="1" outlineLevel="2">
      <c r="E2172" s="20"/>
      <c r="F2172" s="21"/>
      <c r="G2172" s="65"/>
      <c r="H2172" s="23"/>
      <c r="I2172" s="24"/>
      <c r="J2172" s="32"/>
      <c r="K2172" s="64"/>
      <c r="L2172" s="32"/>
      <c r="M2172" s="10"/>
      <c r="N2172" s="33">
        <v>2</v>
      </c>
      <c r="O2172" s="58">
        <f>ROUND(PRODUCT(J2172:N2172),2)</f>
        <v>2</v>
      </c>
    </row>
    <row r="2173" spans="1:17" ht="30" hidden="1" outlineLevel="1">
      <c r="A2173" s="2">
        <v>6</v>
      </c>
      <c r="B2173" s="2">
        <v>11</v>
      </c>
      <c r="C2173" s="2">
        <f>1+C2171</f>
        <v>3</v>
      </c>
      <c r="E2173" s="20" t="str">
        <f>CONCATENATE(A2173,".",B2173,".",C2173)</f>
        <v>6.11.3</v>
      </c>
      <c r="F2173" s="21" t="s">
        <v>3722</v>
      </c>
      <c r="G2173" s="65">
        <v>91937</v>
      </c>
      <c r="H2173" s="23" t="s">
        <v>3723</v>
      </c>
      <c r="I2173" s="24" t="s">
        <v>36</v>
      </c>
      <c r="J2173" s="32"/>
      <c r="K2173" s="10"/>
      <c r="L2173" s="32"/>
      <c r="M2173" s="10"/>
      <c r="N2173" s="33"/>
      <c r="O2173" s="11">
        <f>SUM(O2174)</f>
        <v>150</v>
      </c>
    </row>
    <row r="2174" spans="1:17" hidden="1" outlineLevel="2">
      <c r="E2174" s="20"/>
      <c r="F2174" s="21"/>
      <c r="G2174" s="65"/>
      <c r="H2174" s="23"/>
      <c r="I2174" s="24"/>
      <c r="J2174" s="32"/>
      <c r="K2174" s="64"/>
      <c r="L2174" s="32"/>
      <c r="M2174" s="10"/>
      <c r="N2174" s="33">
        <v>150</v>
      </c>
      <c r="O2174" s="58">
        <f>ROUND(PRODUCT(J2174:N2174),2)</f>
        <v>150</v>
      </c>
    </row>
    <row r="2175" spans="1:17" ht="30" hidden="1" outlineLevel="1">
      <c r="A2175" s="2">
        <v>6</v>
      </c>
      <c r="B2175" s="2">
        <v>11</v>
      </c>
      <c r="C2175" s="2">
        <f>1+C2173</f>
        <v>4</v>
      </c>
      <c r="E2175" s="20" t="str">
        <f>CONCATENATE(A2175,".",B2175,".",C2175)</f>
        <v>6.11.4</v>
      </c>
      <c r="F2175" s="21" t="s">
        <v>3724</v>
      </c>
      <c r="G2175" s="65">
        <v>97484</v>
      </c>
      <c r="H2175" s="23" t="s">
        <v>3725</v>
      </c>
      <c r="I2175" s="24" t="s">
        <v>36</v>
      </c>
      <c r="J2175" s="32"/>
      <c r="K2175" s="10"/>
      <c r="L2175" s="32"/>
      <c r="M2175" s="10"/>
      <c r="N2175" s="33"/>
      <c r="O2175" s="11">
        <f>SUM(O2176)</f>
        <v>2</v>
      </c>
    </row>
    <row r="2176" spans="1:17" hidden="1" outlineLevel="2">
      <c r="E2176" s="20"/>
      <c r="F2176" s="21"/>
      <c r="G2176" s="65"/>
      <c r="H2176" s="23"/>
      <c r="I2176" s="24"/>
      <c r="J2176" s="32"/>
      <c r="K2176" s="64"/>
      <c r="L2176" s="32"/>
      <c r="M2176" s="10"/>
      <c r="N2176" s="33">
        <v>2</v>
      </c>
      <c r="O2176" s="58">
        <f>ROUND(PRODUCT(J2176:N2176),2)</f>
        <v>2</v>
      </c>
    </row>
    <row r="2177" spans="1:15" ht="30" hidden="1" outlineLevel="1">
      <c r="A2177" s="2">
        <v>6</v>
      </c>
      <c r="B2177" s="2">
        <v>11</v>
      </c>
      <c r="C2177" s="2">
        <f>1+C2175</f>
        <v>5</v>
      </c>
      <c r="E2177" s="20" t="str">
        <f>CONCATENATE(A2177,".",B2177,".",C2177)</f>
        <v>6.11.5</v>
      </c>
      <c r="F2177" s="21" t="s">
        <v>3726</v>
      </c>
      <c r="G2177" s="65">
        <v>91876</v>
      </c>
      <c r="H2177" s="23" t="s">
        <v>549</v>
      </c>
      <c r="I2177" s="24" t="s">
        <v>36</v>
      </c>
      <c r="J2177" s="32"/>
      <c r="K2177" s="10"/>
      <c r="L2177" s="32"/>
      <c r="M2177" s="10"/>
      <c r="N2177" s="33"/>
      <c r="O2177" s="11">
        <f>SUM(O2178)</f>
        <v>9</v>
      </c>
    </row>
    <row r="2178" spans="1:15" hidden="1" outlineLevel="2">
      <c r="E2178" s="20"/>
      <c r="F2178" s="21"/>
      <c r="G2178" s="65"/>
      <c r="H2178" s="23"/>
      <c r="I2178" s="24"/>
      <c r="J2178" s="32"/>
      <c r="K2178" s="64"/>
      <c r="L2178" s="32"/>
      <c r="M2178" s="10"/>
      <c r="N2178" s="33">
        <v>9</v>
      </c>
      <c r="O2178" s="58">
        <f>ROUND(PRODUCT(J2178:N2178),2)</f>
        <v>9</v>
      </c>
    </row>
    <row r="2179" spans="1:15" ht="30" hidden="1" outlineLevel="1">
      <c r="A2179" s="2">
        <v>6</v>
      </c>
      <c r="B2179" s="2">
        <v>11</v>
      </c>
      <c r="C2179" s="2">
        <f>1+C2177</f>
        <v>6</v>
      </c>
      <c r="E2179" s="20" t="str">
        <f>CONCATENATE(A2179,".",B2179,".",C2179)</f>
        <v>6.11.6</v>
      </c>
      <c r="F2179" s="21" t="s">
        <v>3727</v>
      </c>
      <c r="G2179" s="65">
        <v>93013</v>
      </c>
      <c r="H2179" s="23" t="s">
        <v>3728</v>
      </c>
      <c r="I2179" s="24" t="s">
        <v>36</v>
      </c>
      <c r="J2179" s="32"/>
      <c r="K2179" s="10"/>
      <c r="L2179" s="32"/>
      <c r="M2179" s="10"/>
      <c r="N2179" s="33"/>
      <c r="O2179" s="11">
        <f>SUM(O2180)</f>
        <v>22</v>
      </c>
    </row>
    <row r="2180" spans="1:15" hidden="1" outlineLevel="2">
      <c r="E2180" s="20"/>
      <c r="F2180" s="21"/>
      <c r="G2180" s="65"/>
      <c r="H2180" s="23"/>
      <c r="I2180" s="24"/>
      <c r="J2180" s="32"/>
      <c r="K2180" s="64"/>
      <c r="L2180" s="32"/>
      <c r="M2180" s="10"/>
      <c r="N2180" s="33">
        <v>22</v>
      </c>
      <c r="O2180" s="58">
        <f>ROUND(PRODUCT(J2180:N2180),2)</f>
        <v>22</v>
      </c>
    </row>
    <row r="2181" spans="1:15" ht="30" hidden="1" outlineLevel="1">
      <c r="A2181" s="2">
        <v>6</v>
      </c>
      <c r="B2181" s="2">
        <v>11</v>
      </c>
      <c r="C2181" s="2">
        <f>1+C2179</f>
        <v>7</v>
      </c>
      <c r="E2181" s="20" t="str">
        <f>CONCATENATE(A2181,".",B2181,".",C2181)</f>
        <v>6.11.7</v>
      </c>
      <c r="F2181" s="21" t="s">
        <v>3729</v>
      </c>
      <c r="G2181" s="65">
        <v>91877</v>
      </c>
      <c r="H2181" s="23" t="s">
        <v>552</v>
      </c>
      <c r="I2181" s="24" t="s">
        <v>36</v>
      </c>
      <c r="J2181" s="32"/>
      <c r="K2181" s="10"/>
      <c r="L2181" s="32"/>
      <c r="M2181" s="10"/>
      <c r="N2181" s="33"/>
      <c r="O2181" s="11">
        <f>SUM(O2182)</f>
        <v>5</v>
      </c>
    </row>
    <row r="2182" spans="1:15" hidden="1" outlineLevel="2">
      <c r="E2182" s="20"/>
      <c r="F2182" s="21"/>
      <c r="G2182" s="65"/>
      <c r="H2182" s="23"/>
      <c r="I2182" s="24"/>
      <c r="J2182" s="32"/>
      <c r="K2182" s="64"/>
      <c r="L2182" s="32"/>
      <c r="M2182" s="10"/>
      <c r="N2182" s="33">
        <v>5</v>
      </c>
      <c r="O2182" s="58">
        <f>ROUND(PRODUCT(J2182:N2182),2)</f>
        <v>5</v>
      </c>
    </row>
    <row r="2183" spans="1:15" ht="30" hidden="1" outlineLevel="1">
      <c r="A2183" s="2">
        <v>6</v>
      </c>
      <c r="B2183" s="2">
        <v>11</v>
      </c>
      <c r="C2183" s="2">
        <f>1+C2181</f>
        <v>8</v>
      </c>
      <c r="E2183" s="20" t="str">
        <f>CONCATENATE(A2183,".",B2183,".",C2183)</f>
        <v>6.11.8</v>
      </c>
      <c r="F2183" s="21" t="s">
        <v>3730</v>
      </c>
      <c r="G2183" s="65">
        <v>93015</v>
      </c>
      <c r="H2183" s="23" t="s">
        <v>2639</v>
      </c>
      <c r="I2183" s="24" t="s">
        <v>36</v>
      </c>
      <c r="J2183" s="32"/>
      <c r="K2183" s="10"/>
      <c r="L2183" s="32"/>
      <c r="M2183" s="10"/>
      <c r="N2183" s="33"/>
      <c r="O2183" s="11">
        <f>SUM(O2184)</f>
        <v>34</v>
      </c>
    </row>
    <row r="2184" spans="1:15" hidden="1" outlineLevel="2">
      <c r="E2184" s="20"/>
      <c r="F2184" s="21"/>
      <c r="G2184" s="65"/>
      <c r="H2184" s="23"/>
      <c r="I2184" s="24"/>
      <c r="J2184" s="32"/>
      <c r="K2184" s="64"/>
      <c r="L2184" s="32"/>
      <c r="M2184" s="10"/>
      <c r="N2184" s="33">
        <v>34</v>
      </c>
      <c r="O2184" s="58">
        <f>ROUND(PRODUCT(J2184:N2184),2)</f>
        <v>34</v>
      </c>
    </row>
    <row r="2185" spans="1:15" ht="30" hidden="1" outlineLevel="1">
      <c r="A2185" s="2">
        <v>6</v>
      </c>
      <c r="B2185" s="2">
        <v>11</v>
      </c>
      <c r="C2185" s="2">
        <f>1+C2183</f>
        <v>9</v>
      </c>
      <c r="E2185" s="20" t="str">
        <f>CONCATENATE(A2185,".",B2185,".",C2185)</f>
        <v>6.11.9</v>
      </c>
      <c r="F2185" s="21" t="s">
        <v>3731</v>
      </c>
      <c r="G2185" s="65">
        <v>91875</v>
      </c>
      <c r="H2185" s="23" t="s">
        <v>555</v>
      </c>
      <c r="I2185" s="24" t="s">
        <v>36</v>
      </c>
      <c r="J2185" s="32"/>
      <c r="K2185" s="10"/>
      <c r="L2185" s="32"/>
      <c r="M2185" s="10"/>
      <c r="N2185" s="33"/>
      <c r="O2185" s="11">
        <f>SUM(O2186)</f>
        <v>18</v>
      </c>
    </row>
    <row r="2186" spans="1:15" hidden="1" outlineLevel="2">
      <c r="E2186" s="20"/>
      <c r="F2186" s="21"/>
      <c r="G2186" s="65"/>
      <c r="H2186" s="23"/>
      <c r="I2186" s="24"/>
      <c r="J2186" s="32"/>
      <c r="K2186" s="64"/>
      <c r="L2186" s="32"/>
      <c r="M2186" s="10"/>
      <c r="N2186" s="33">
        <v>18</v>
      </c>
      <c r="O2186" s="58">
        <f>ROUND(PRODUCT(J2186:N2186),2)</f>
        <v>18</v>
      </c>
    </row>
    <row r="2187" spans="1:15" ht="30" hidden="1" outlineLevel="1">
      <c r="A2187" s="2">
        <v>6</v>
      </c>
      <c r="B2187" s="2">
        <v>11</v>
      </c>
      <c r="C2187" s="2">
        <f>1+C2185</f>
        <v>10</v>
      </c>
      <c r="E2187" s="20" t="str">
        <f>CONCATENATE(A2187,".",B2187,".",C2187)</f>
        <v>6.11.10</v>
      </c>
      <c r="F2187" s="21" t="s">
        <v>3732</v>
      </c>
      <c r="G2187" s="65">
        <v>91929</v>
      </c>
      <c r="H2187" s="23" t="s">
        <v>930</v>
      </c>
      <c r="I2187" s="24" t="s">
        <v>144</v>
      </c>
      <c r="J2187" s="32"/>
      <c r="K2187" s="10"/>
      <c r="L2187" s="32"/>
      <c r="M2187" s="10"/>
      <c r="N2187" s="33"/>
      <c r="O2187" s="11">
        <f>SUM(O2188)</f>
        <v>146.19999999999999</v>
      </c>
    </row>
    <row r="2188" spans="1:15" hidden="1" outlineLevel="2">
      <c r="E2188" s="20"/>
      <c r="F2188" s="21"/>
      <c r="G2188" s="65"/>
      <c r="H2188" s="23"/>
      <c r="I2188" s="24"/>
      <c r="J2188" s="32"/>
      <c r="K2188" s="64"/>
      <c r="L2188" s="32"/>
      <c r="M2188" s="10"/>
      <c r="N2188" s="33">
        <f>89.2+47.5+9.5</f>
        <v>146.19999999999999</v>
      </c>
      <c r="O2188" s="58">
        <f>ROUND(PRODUCT(J2188:N2188),2)</f>
        <v>146.19999999999999</v>
      </c>
    </row>
    <row r="2189" spans="1:15" ht="30" hidden="1" outlineLevel="1">
      <c r="A2189" s="2">
        <v>6</v>
      </c>
      <c r="B2189" s="2">
        <v>11</v>
      </c>
      <c r="C2189" s="2">
        <f>1+C2187</f>
        <v>11</v>
      </c>
      <c r="E2189" s="20" t="str">
        <f>CONCATENATE(A2189,".",B2189,".",C2189)</f>
        <v>6.11.11</v>
      </c>
      <c r="F2189" s="21" t="s">
        <v>3733</v>
      </c>
      <c r="G2189" s="65">
        <v>92980</v>
      </c>
      <c r="H2189" s="23" t="s">
        <v>3734</v>
      </c>
      <c r="I2189" s="24" t="s">
        <v>144</v>
      </c>
      <c r="J2189" s="32"/>
      <c r="K2189" s="10"/>
      <c r="L2189" s="32"/>
      <c r="M2189" s="10"/>
      <c r="N2189" s="33"/>
      <c r="O2189" s="11">
        <f>SUM(O2190)</f>
        <v>405.6</v>
      </c>
    </row>
    <row r="2190" spans="1:15" hidden="1" outlineLevel="2">
      <c r="E2190" s="20"/>
      <c r="F2190" s="21"/>
      <c r="G2190" s="65"/>
      <c r="H2190" s="23"/>
      <c r="I2190" s="24"/>
      <c r="J2190" s="32"/>
      <c r="K2190" s="64"/>
      <c r="L2190" s="32"/>
      <c r="M2190" s="10"/>
      <c r="N2190" s="33">
        <f>405.6</f>
        <v>405.6</v>
      </c>
      <c r="O2190" s="58">
        <f>ROUND(PRODUCT(J2190:N2190),2)</f>
        <v>405.6</v>
      </c>
    </row>
    <row r="2191" spans="1:15" ht="45" hidden="1" outlineLevel="1">
      <c r="A2191" s="2">
        <v>6</v>
      </c>
      <c r="B2191" s="2">
        <v>11</v>
      </c>
      <c r="C2191" s="2">
        <f>1+C2189</f>
        <v>12</v>
      </c>
      <c r="E2191" s="20" t="str">
        <f>CONCATENATE(A2191,".",B2191,".",C2191)</f>
        <v>6.11.12</v>
      </c>
      <c r="F2191" s="21" t="s">
        <v>3735</v>
      </c>
      <c r="G2191" s="65">
        <v>101568</v>
      </c>
      <c r="H2191" s="23" t="s">
        <v>3736</v>
      </c>
      <c r="I2191" s="24" t="s">
        <v>144</v>
      </c>
      <c r="J2191" s="32"/>
      <c r="K2191" s="10"/>
      <c r="L2191" s="32"/>
      <c r="M2191" s="10"/>
      <c r="N2191" s="33"/>
      <c r="O2191" s="11">
        <f>SUM(O2192)</f>
        <v>269.8</v>
      </c>
    </row>
    <row r="2192" spans="1:15" hidden="1" outlineLevel="2">
      <c r="E2192" s="20"/>
      <c r="F2192" s="21"/>
      <c r="G2192" s="65"/>
      <c r="H2192" s="23"/>
      <c r="I2192" s="24"/>
      <c r="J2192" s="32"/>
      <c r="K2192" s="64"/>
      <c r="L2192" s="32"/>
      <c r="M2192" s="10"/>
      <c r="N2192" s="33">
        <v>269.8</v>
      </c>
      <c r="O2192" s="58">
        <f>ROUND(PRODUCT(J2192:N2192),2)</f>
        <v>269.8</v>
      </c>
    </row>
    <row r="2193" spans="1:17" ht="45" hidden="1" outlineLevel="1">
      <c r="A2193" s="2">
        <v>6</v>
      </c>
      <c r="B2193" s="2">
        <v>11</v>
      </c>
      <c r="C2193" s="2">
        <f>1+C2191</f>
        <v>13</v>
      </c>
      <c r="E2193" s="20" t="str">
        <f>CONCATENATE(A2193,".",B2193,".",C2193)</f>
        <v>6.11.13</v>
      </c>
      <c r="F2193" s="21" t="s">
        <v>3737</v>
      </c>
      <c r="G2193" s="65">
        <v>101561</v>
      </c>
      <c r="H2193" s="23" t="s">
        <v>3738</v>
      </c>
      <c r="I2193" s="24" t="s">
        <v>144</v>
      </c>
      <c r="J2193" s="32"/>
      <c r="K2193" s="10"/>
      <c r="L2193" s="32"/>
      <c r="M2193" s="10"/>
      <c r="N2193" s="33"/>
      <c r="O2193" s="11">
        <f>SUM(O2194)</f>
        <v>0.6</v>
      </c>
    </row>
    <row r="2194" spans="1:17" hidden="1" outlineLevel="2">
      <c r="E2194" s="20"/>
      <c r="F2194" s="21"/>
      <c r="G2194" s="65"/>
      <c r="H2194" s="23"/>
      <c r="I2194" s="24"/>
      <c r="J2194" s="32"/>
      <c r="K2194" s="64"/>
      <c r="L2194" s="32"/>
      <c r="M2194" s="10"/>
      <c r="N2194" s="33">
        <v>0.6</v>
      </c>
      <c r="O2194" s="58">
        <f>ROUND(PRODUCT(J2194:N2194),2)</f>
        <v>0.6</v>
      </c>
    </row>
    <row r="2195" spans="1:17" ht="45" hidden="1" outlineLevel="1">
      <c r="A2195" s="2">
        <v>6</v>
      </c>
      <c r="B2195" s="2">
        <v>11</v>
      </c>
      <c r="C2195" s="2">
        <f>1+C2193</f>
        <v>14</v>
      </c>
      <c r="E2195" s="20" t="str">
        <f>CONCATENATE(A2195,".",B2195,".",C2195)</f>
        <v>6.11.14</v>
      </c>
      <c r="F2195" s="21" t="s">
        <v>3739</v>
      </c>
      <c r="G2195" s="65">
        <v>101563</v>
      </c>
      <c r="H2195" s="23" t="s">
        <v>3740</v>
      </c>
      <c r="I2195" s="24" t="s">
        <v>144</v>
      </c>
      <c r="J2195" s="32"/>
      <c r="K2195" s="10"/>
      <c r="L2195" s="32"/>
      <c r="M2195" s="10"/>
      <c r="N2195" s="33"/>
      <c r="O2195" s="11">
        <f>SUM(O2196)</f>
        <v>2.4</v>
      </c>
    </row>
    <row r="2196" spans="1:17" hidden="1" outlineLevel="2">
      <c r="E2196" s="20"/>
      <c r="F2196" s="21"/>
      <c r="G2196" s="65"/>
      <c r="H2196" s="23"/>
      <c r="I2196" s="24"/>
      <c r="J2196" s="32"/>
      <c r="K2196" s="64"/>
      <c r="L2196" s="32"/>
      <c r="M2196" s="10"/>
      <c r="N2196" s="33">
        <v>2.4</v>
      </c>
      <c r="O2196" s="58">
        <f>ROUND(PRODUCT(J2196:N2196),2)</f>
        <v>2.4</v>
      </c>
    </row>
    <row r="2197" spans="1:17" ht="30" hidden="1" outlineLevel="1">
      <c r="A2197" s="2">
        <v>6</v>
      </c>
      <c r="B2197" s="2">
        <v>11</v>
      </c>
      <c r="C2197" s="2">
        <f>1+C2195</f>
        <v>15</v>
      </c>
      <c r="E2197" s="20" t="str">
        <f>CONCATENATE(A2197,".",B2197,".",C2197)</f>
        <v>6.11.15</v>
      </c>
      <c r="F2197" s="21" t="s">
        <v>3741</v>
      </c>
      <c r="G2197" s="65">
        <v>91931</v>
      </c>
      <c r="H2197" s="23" t="s">
        <v>3204</v>
      </c>
      <c r="I2197" s="24" t="s">
        <v>144</v>
      </c>
      <c r="J2197" s="32"/>
      <c r="K2197" s="10"/>
      <c r="L2197" s="32"/>
      <c r="M2197" s="10"/>
      <c r="N2197" s="33"/>
      <c r="O2197" s="11">
        <f>SUM(O2198)</f>
        <v>100.4</v>
      </c>
    </row>
    <row r="2198" spans="1:17" hidden="1" outlineLevel="2">
      <c r="E2198" s="20"/>
      <c r="F2198" s="21"/>
      <c r="G2198" s="65"/>
      <c r="H2198" s="23"/>
      <c r="I2198" s="24"/>
      <c r="J2198" s="32"/>
      <c r="K2198" s="64"/>
      <c r="L2198" s="32"/>
      <c r="M2198" s="10"/>
      <c r="N2198" s="33">
        <f>83.7+16.7</f>
        <v>100.4</v>
      </c>
      <c r="O2198" s="58">
        <f>ROUND(PRODUCT(J2198:N2198),2)</f>
        <v>100.4</v>
      </c>
    </row>
    <row r="2199" spans="1:17" ht="30" hidden="1" outlineLevel="1">
      <c r="A2199" s="2">
        <v>6</v>
      </c>
      <c r="B2199" s="2">
        <v>11</v>
      </c>
      <c r="C2199" s="2">
        <f>1+C2197</f>
        <v>16</v>
      </c>
      <c r="E2199" s="20" t="str">
        <f>CONCATENATE(A2199,".",B2199,".",C2199)</f>
        <v>6.11.16</v>
      </c>
      <c r="F2199" s="21" t="s">
        <v>3742</v>
      </c>
      <c r="G2199" s="65">
        <v>91924</v>
      </c>
      <c r="H2199" s="23" t="s">
        <v>516</v>
      </c>
      <c r="I2199" s="24" t="s">
        <v>144</v>
      </c>
      <c r="J2199" s="32"/>
      <c r="K2199" s="10"/>
      <c r="L2199" s="32"/>
      <c r="M2199" s="10"/>
      <c r="N2199" s="33"/>
      <c r="O2199" s="11">
        <f>SUM(O2200:O2201)</f>
        <v>1724.6</v>
      </c>
    </row>
    <row r="2200" spans="1:17" hidden="1" outlineLevel="2">
      <c r="E2200" s="20"/>
      <c r="F2200" s="21"/>
      <c r="G2200" s="65"/>
      <c r="H2200" s="30" t="s">
        <v>3743</v>
      </c>
      <c r="I2200" s="24"/>
      <c r="J2200" s="32"/>
      <c r="K2200" s="64"/>
      <c r="L2200" s="32"/>
      <c r="M2200" s="10"/>
      <c r="N2200" s="33">
        <f>32.2+1473.4</f>
        <v>1505.6000000000001</v>
      </c>
      <c r="O2200" s="58">
        <f>ROUND(PRODUCT(J2200:N2200),2)</f>
        <v>1505.6</v>
      </c>
    </row>
    <row r="2201" spans="1:17" hidden="1" outlineLevel="2">
      <c r="E2201" s="20"/>
      <c r="F2201" s="21"/>
      <c r="G2201" s="65"/>
      <c r="H2201" s="30" t="s">
        <v>3744</v>
      </c>
      <c r="I2201" s="24"/>
      <c r="J2201" s="32"/>
      <c r="K2201" s="64"/>
      <c r="L2201" s="32"/>
      <c r="M2201" s="10"/>
      <c r="N2201" s="33">
        <f>109.5+109.5</f>
        <v>219</v>
      </c>
      <c r="O2201" s="58">
        <f>ROUND(PRODUCT(J2201:N2201),2)</f>
        <v>219</v>
      </c>
    </row>
    <row r="2202" spans="1:17" ht="30" hidden="1" outlineLevel="1">
      <c r="A2202" s="2">
        <v>6</v>
      </c>
      <c r="B2202" s="2">
        <v>11</v>
      </c>
      <c r="C2202" s="2">
        <f>1+C2199</f>
        <v>17</v>
      </c>
      <c r="E2202" s="20" t="str">
        <f>CONCATENATE(A2202,".",B2202,".",C2202)</f>
        <v>6.11.17</v>
      </c>
      <c r="F2202" s="21" t="s">
        <v>3745</v>
      </c>
      <c r="G2202" s="65">
        <v>91926</v>
      </c>
      <c r="H2202" s="23" t="s">
        <v>519</v>
      </c>
      <c r="I2202" s="24" t="s">
        <v>144</v>
      </c>
      <c r="J2202" s="32"/>
      <c r="K2202" s="10"/>
      <c r="L2202" s="32"/>
      <c r="M2202" s="10"/>
      <c r="N2202" s="33"/>
      <c r="O2202" s="11">
        <f>SUM(O2203:O2204)</f>
        <v>4776.1000000000004</v>
      </c>
    </row>
    <row r="2203" spans="1:17" hidden="1" outlineLevel="2">
      <c r="E2203" s="20"/>
      <c r="F2203" s="21"/>
      <c r="G2203" s="65"/>
      <c r="H2203" s="30" t="s">
        <v>3746</v>
      </c>
      <c r="I2203" s="24"/>
      <c r="J2203" s="32"/>
      <c r="K2203" s="10"/>
      <c r="L2203" s="32"/>
      <c r="M2203" s="10"/>
      <c r="N2203" s="33">
        <v>63</v>
      </c>
      <c r="O2203" s="58">
        <f>ROUND(PRODUCT(J2203:N2203),2)</f>
        <v>63</v>
      </c>
      <c r="P2203" s="185"/>
      <c r="Q2203" s="185"/>
    </row>
    <row r="2204" spans="1:17" hidden="1" outlineLevel="2">
      <c r="E2204" s="20"/>
      <c r="F2204" s="21"/>
      <c r="G2204" s="65"/>
      <c r="H2204" s="23"/>
      <c r="I2204" s="24"/>
      <c r="J2204" s="32"/>
      <c r="K2204" s="64"/>
      <c r="L2204" s="32"/>
      <c r="M2204" s="10"/>
      <c r="N2204" s="33">
        <f>19.2+4693.9</f>
        <v>4713.0999999999995</v>
      </c>
      <c r="O2204" s="58">
        <f>ROUND(PRODUCT(J2204:N2204),2)</f>
        <v>4713.1000000000004</v>
      </c>
    </row>
    <row r="2205" spans="1:17" ht="30" hidden="1" outlineLevel="1">
      <c r="A2205" s="2">
        <v>6</v>
      </c>
      <c r="B2205" s="2">
        <v>11</v>
      </c>
      <c r="C2205" s="2">
        <f>1+C2202</f>
        <v>18</v>
      </c>
      <c r="E2205" s="20" t="str">
        <f>CONCATENATE(A2205,".",B2205,".",C2205)</f>
        <v>6.11.18</v>
      </c>
      <c r="F2205" s="21" t="s">
        <v>3747</v>
      </c>
      <c r="G2205" s="65">
        <v>91928</v>
      </c>
      <c r="H2205" s="23" t="s">
        <v>2397</v>
      </c>
      <c r="I2205" s="24" t="s">
        <v>144</v>
      </c>
      <c r="J2205" s="32"/>
      <c r="K2205" s="10"/>
      <c r="L2205" s="32"/>
      <c r="M2205" s="10"/>
      <c r="N2205" s="33"/>
      <c r="O2205" s="11">
        <f>SUM(O2206:O2207)</f>
        <v>4163.5</v>
      </c>
    </row>
    <row r="2206" spans="1:17" hidden="1" outlineLevel="2">
      <c r="E2206" s="20"/>
      <c r="F2206" s="21"/>
      <c r="G2206" s="65"/>
      <c r="H2206" s="30" t="s">
        <v>3746</v>
      </c>
      <c r="I2206" s="24"/>
      <c r="J2206" s="32"/>
      <c r="K2206" s="10"/>
      <c r="L2206" s="32"/>
      <c r="M2206" s="10"/>
      <c r="N2206" s="33">
        <v>3348</v>
      </c>
      <c r="O2206" s="58">
        <f>ROUND(PRODUCT(J2206:N2206),2)</f>
        <v>3348</v>
      </c>
      <c r="P2206" s="185"/>
      <c r="Q2206" s="185"/>
    </row>
    <row r="2207" spans="1:17" hidden="1" outlineLevel="2">
      <c r="E2207" s="20"/>
      <c r="F2207" s="21"/>
      <c r="G2207" s="65"/>
      <c r="H2207" s="23"/>
      <c r="I2207" s="24"/>
      <c r="J2207" s="32"/>
      <c r="K2207" s="64"/>
      <c r="L2207" s="32"/>
      <c r="M2207" s="10"/>
      <c r="N2207" s="33">
        <v>815.5</v>
      </c>
      <c r="O2207" s="58">
        <f>ROUND(PRODUCT(J2207:N2207),2)</f>
        <v>815.5</v>
      </c>
    </row>
    <row r="2208" spans="1:17" ht="30" hidden="1" outlineLevel="1">
      <c r="A2208" s="2">
        <v>6</v>
      </c>
      <c r="B2208" s="2">
        <v>11</v>
      </c>
      <c r="C2208" s="2">
        <f>1+C2205</f>
        <v>19</v>
      </c>
      <c r="E2208" s="20" t="str">
        <f>CONCATENATE(A2208,".",B2208,".",C2208)</f>
        <v>6.11.19</v>
      </c>
      <c r="F2208" s="21" t="s">
        <v>3748</v>
      </c>
      <c r="G2208" s="65">
        <v>91930</v>
      </c>
      <c r="H2208" s="23" t="s">
        <v>2400</v>
      </c>
      <c r="I2208" s="24" t="s">
        <v>144</v>
      </c>
      <c r="J2208" s="32"/>
      <c r="K2208" s="10"/>
      <c r="L2208" s="32"/>
      <c r="M2208" s="10"/>
      <c r="N2208" s="33"/>
      <c r="O2208" s="11">
        <f>SUM(O2209)</f>
        <v>3484.1</v>
      </c>
    </row>
    <row r="2209" spans="1:15" hidden="1" outlineLevel="2">
      <c r="E2209" s="20"/>
      <c r="F2209" s="21"/>
      <c r="G2209" s="65"/>
      <c r="H2209" s="23"/>
      <c r="I2209" s="24"/>
      <c r="J2209" s="32"/>
      <c r="K2209" s="64"/>
      <c r="L2209" s="32"/>
      <c r="M2209" s="10"/>
      <c r="N2209" s="33">
        <v>3484.1</v>
      </c>
      <c r="O2209" s="58">
        <f>ROUND(PRODUCT(J2209:N2209),2)</f>
        <v>3484.1</v>
      </c>
    </row>
    <row r="2210" spans="1:15" ht="30" hidden="1" outlineLevel="1">
      <c r="A2210" s="2">
        <v>6</v>
      </c>
      <c r="B2210" s="2">
        <v>11</v>
      </c>
      <c r="C2210" s="2">
        <f>1+C2208</f>
        <v>20</v>
      </c>
      <c r="E2210" s="20" t="str">
        <f>CONCATENATE(A2210,".",B2210,".",C2210)</f>
        <v>6.11.20</v>
      </c>
      <c r="F2210" s="21" t="s">
        <v>3749</v>
      </c>
      <c r="G2210" s="65">
        <v>91961</v>
      </c>
      <c r="H2210" s="23" t="s">
        <v>570</v>
      </c>
      <c r="I2210" s="24" t="s">
        <v>36</v>
      </c>
      <c r="J2210" s="32"/>
      <c r="K2210" s="10"/>
      <c r="L2210" s="32"/>
      <c r="M2210" s="10"/>
      <c r="N2210" s="33"/>
      <c r="O2210" s="11">
        <f>SUM(O2211)</f>
        <v>2</v>
      </c>
    </row>
    <row r="2211" spans="1:15" hidden="1" outlineLevel="2">
      <c r="E2211" s="20"/>
      <c r="F2211" s="21"/>
      <c r="G2211" s="65"/>
      <c r="H2211" s="23"/>
      <c r="I2211" s="24"/>
      <c r="J2211" s="32"/>
      <c r="K2211" s="64"/>
      <c r="L2211" s="32"/>
      <c r="M2211" s="10"/>
      <c r="N2211" s="33">
        <v>2</v>
      </c>
      <c r="O2211" s="58">
        <f>ROUND(PRODUCT(J2211:N2211),2)</f>
        <v>2</v>
      </c>
    </row>
    <row r="2212" spans="1:15" ht="30" hidden="1" outlineLevel="1">
      <c r="A2212" s="2">
        <v>6</v>
      </c>
      <c r="B2212" s="2">
        <v>11</v>
      </c>
      <c r="C2212" s="2">
        <f>1+C2210</f>
        <v>21</v>
      </c>
      <c r="E2212" s="20" t="str">
        <f>CONCATENATE(A2212,".",B2212,".",C2212)</f>
        <v>6.11.21</v>
      </c>
      <c r="F2212" s="21" t="s">
        <v>3750</v>
      </c>
      <c r="G2212" s="65">
        <v>91967</v>
      </c>
      <c r="H2212" s="23" t="s">
        <v>582</v>
      </c>
      <c r="I2212" s="24" t="s">
        <v>36</v>
      </c>
      <c r="J2212" s="32"/>
      <c r="K2212" s="10"/>
      <c r="L2212" s="32"/>
      <c r="M2212" s="10"/>
      <c r="N2212" s="33"/>
      <c r="O2212" s="11">
        <f>SUM(O2213)</f>
        <v>1</v>
      </c>
    </row>
    <row r="2213" spans="1:15" hidden="1" outlineLevel="2">
      <c r="E2213" s="20"/>
      <c r="F2213" s="21"/>
      <c r="G2213" s="65"/>
      <c r="H2213" s="23"/>
      <c r="I2213" s="24"/>
      <c r="J2213" s="32"/>
      <c r="K2213" s="64"/>
      <c r="L2213" s="32"/>
      <c r="M2213" s="10"/>
      <c r="N2213" s="33">
        <v>1</v>
      </c>
      <c r="O2213" s="58">
        <f>ROUND(PRODUCT(J2213:N2213),2)</f>
        <v>1</v>
      </c>
    </row>
    <row r="2214" spans="1:15" ht="30" hidden="1" outlineLevel="1">
      <c r="A2214" s="2">
        <v>6</v>
      </c>
      <c r="B2214" s="2">
        <v>11</v>
      </c>
      <c r="C2214" s="2">
        <f>1+C2212</f>
        <v>22</v>
      </c>
      <c r="E2214" s="20" t="str">
        <f>CONCATENATE(A2214,".",B2214,".",C2214)</f>
        <v>6.11.22</v>
      </c>
      <c r="F2214" s="21" t="s">
        <v>3751</v>
      </c>
      <c r="G2214" s="65">
        <v>91979</v>
      </c>
      <c r="H2214" s="23" t="s">
        <v>564</v>
      </c>
      <c r="I2214" s="24" t="s">
        <v>36</v>
      </c>
      <c r="J2214" s="32"/>
      <c r="K2214" s="10"/>
      <c r="L2214" s="32"/>
      <c r="M2214" s="10"/>
      <c r="N2214" s="33"/>
      <c r="O2214" s="11">
        <f>SUM(O2215)</f>
        <v>3</v>
      </c>
    </row>
    <row r="2215" spans="1:15" hidden="1" outlineLevel="2">
      <c r="E2215" s="20"/>
      <c r="F2215" s="21"/>
      <c r="G2215" s="65"/>
      <c r="H2215" s="23"/>
      <c r="I2215" s="24"/>
      <c r="J2215" s="32"/>
      <c r="K2215" s="64"/>
      <c r="L2215" s="32"/>
      <c r="M2215" s="10"/>
      <c r="N2215" s="33">
        <v>3</v>
      </c>
      <c r="O2215" s="58">
        <f>ROUND(PRODUCT(J2215:N2215),2)</f>
        <v>3</v>
      </c>
    </row>
    <row r="2216" spans="1:15" ht="30" hidden="1" outlineLevel="1">
      <c r="A2216" s="2">
        <v>6</v>
      </c>
      <c r="B2216" s="2">
        <v>11</v>
      </c>
      <c r="C2216" s="2">
        <f>1+C2214</f>
        <v>23</v>
      </c>
      <c r="E2216" s="20" t="str">
        <f>CONCATENATE(A2216,".",B2216,".",C2216)</f>
        <v>6.11.23</v>
      </c>
      <c r="F2216" s="21" t="s">
        <v>3752</v>
      </c>
      <c r="G2216" s="65">
        <v>91955</v>
      </c>
      <c r="H2216" s="23" t="s">
        <v>567</v>
      </c>
      <c r="I2216" s="24" t="s">
        <v>36</v>
      </c>
      <c r="J2216" s="32"/>
      <c r="K2216" s="10"/>
      <c r="L2216" s="32"/>
      <c r="M2216" s="10"/>
      <c r="N2216" s="33"/>
      <c r="O2216" s="11">
        <f>SUM(O2217)</f>
        <v>12</v>
      </c>
    </row>
    <row r="2217" spans="1:15" hidden="1" outlineLevel="2">
      <c r="E2217" s="20"/>
      <c r="F2217" s="21"/>
      <c r="G2217" s="65"/>
      <c r="H2217" s="23"/>
      <c r="I2217" s="24"/>
      <c r="J2217" s="32"/>
      <c r="K2217" s="64"/>
      <c r="L2217" s="32"/>
      <c r="M2217" s="10"/>
      <c r="N2217" s="33">
        <v>12</v>
      </c>
      <c r="O2217" s="58">
        <f>ROUND(PRODUCT(J2217:N2217),2)</f>
        <v>12</v>
      </c>
    </row>
    <row r="2218" spans="1:15" ht="30" hidden="1" outlineLevel="1">
      <c r="A2218" s="2">
        <v>6</v>
      </c>
      <c r="B2218" s="2">
        <v>11</v>
      </c>
      <c r="C2218" s="2">
        <f>1+C2216</f>
        <v>24</v>
      </c>
      <c r="E2218" s="20" t="str">
        <f>CONCATENATE(A2218,".",B2218,".",C2218)</f>
        <v>6.11.24</v>
      </c>
      <c r="F2218" s="21" t="s">
        <v>3753</v>
      </c>
      <c r="G2218" s="65">
        <v>92029</v>
      </c>
      <c r="H2218" s="23" t="s">
        <v>3754</v>
      </c>
      <c r="I2218" s="24" t="s">
        <v>36</v>
      </c>
      <c r="J2218" s="32"/>
      <c r="K2218" s="10"/>
      <c r="L2218" s="32"/>
      <c r="M2218" s="10"/>
      <c r="N2218" s="33"/>
      <c r="O2218" s="11">
        <f>SUM(O2219)</f>
        <v>2</v>
      </c>
    </row>
    <row r="2219" spans="1:15" hidden="1" outlineLevel="2">
      <c r="E2219" s="20"/>
      <c r="F2219" s="21"/>
      <c r="G2219" s="65"/>
      <c r="H2219" s="23"/>
      <c r="I2219" s="24"/>
      <c r="J2219" s="32"/>
      <c r="K2219" s="64"/>
      <c r="L2219" s="32"/>
      <c r="M2219" s="10"/>
      <c r="N2219" s="33">
        <v>2</v>
      </c>
      <c r="O2219" s="58">
        <f>ROUND(PRODUCT(J2219:N2219),2)</f>
        <v>2</v>
      </c>
    </row>
    <row r="2220" spans="1:15" ht="30" hidden="1" outlineLevel="1">
      <c r="A2220" s="2">
        <v>6</v>
      </c>
      <c r="B2220" s="2">
        <v>11</v>
      </c>
      <c r="C2220" s="2">
        <f>1+C2218</f>
        <v>25</v>
      </c>
      <c r="E2220" s="20" t="str">
        <f>CONCATENATE(A2220,".",B2220,".",C2220)</f>
        <v>6.11.25</v>
      </c>
      <c r="F2220" s="21" t="s">
        <v>3755</v>
      </c>
      <c r="G2220" s="65">
        <v>91953</v>
      </c>
      <c r="H2220" s="23" t="s">
        <v>558</v>
      </c>
      <c r="I2220" s="24" t="s">
        <v>36</v>
      </c>
      <c r="J2220" s="32"/>
      <c r="K2220" s="10"/>
      <c r="L2220" s="32"/>
      <c r="M2220" s="10"/>
      <c r="N2220" s="33"/>
      <c r="O2220" s="11">
        <f>SUM(O2221)</f>
        <v>3</v>
      </c>
    </row>
    <row r="2221" spans="1:15" hidden="1" outlineLevel="2">
      <c r="E2221" s="20"/>
      <c r="F2221" s="21"/>
      <c r="G2221" s="65"/>
      <c r="H2221" s="23"/>
      <c r="I2221" s="24"/>
      <c r="J2221" s="32"/>
      <c r="K2221" s="64"/>
      <c r="L2221" s="32"/>
      <c r="M2221" s="10"/>
      <c r="N2221" s="33">
        <v>3</v>
      </c>
      <c r="O2221" s="58">
        <f>ROUND(PRODUCT(J2221:N2221),2)</f>
        <v>3</v>
      </c>
    </row>
    <row r="2222" spans="1:15" ht="30" hidden="1" outlineLevel="1">
      <c r="A2222" s="2">
        <v>6</v>
      </c>
      <c r="B2222" s="2">
        <v>11</v>
      </c>
      <c r="C2222" s="2">
        <f>1+C2220</f>
        <v>26</v>
      </c>
      <c r="E2222" s="20" t="str">
        <f>CONCATENATE(A2222,".",B2222,".",C2222)</f>
        <v>6.11.26</v>
      </c>
      <c r="F2222" s="21" t="s">
        <v>3756</v>
      </c>
      <c r="G2222" s="65">
        <v>92023</v>
      </c>
      <c r="H2222" s="23" t="s">
        <v>3757</v>
      </c>
      <c r="I2222" s="24" t="s">
        <v>36</v>
      </c>
      <c r="J2222" s="32"/>
      <c r="K2222" s="10"/>
      <c r="L2222" s="32"/>
      <c r="M2222" s="10"/>
      <c r="N2222" s="33"/>
      <c r="O2222" s="11">
        <f>SUM(O2223)</f>
        <v>13</v>
      </c>
    </row>
    <row r="2223" spans="1:15" hidden="1" outlineLevel="2">
      <c r="E2223" s="20"/>
      <c r="F2223" s="21"/>
      <c r="G2223" s="65"/>
      <c r="H2223" s="23"/>
      <c r="I2223" s="24"/>
      <c r="J2223" s="32"/>
      <c r="K2223" s="64"/>
      <c r="L2223" s="32"/>
      <c r="M2223" s="10"/>
      <c r="N2223" s="33">
        <f>11+2</f>
        <v>13</v>
      </c>
      <c r="O2223" s="58">
        <f>ROUND(PRODUCT(J2223:N2223),2)</f>
        <v>13</v>
      </c>
    </row>
    <row r="2224" spans="1:15" ht="30" hidden="1" outlineLevel="1">
      <c r="A2224" s="2">
        <v>6</v>
      </c>
      <c r="B2224" s="2">
        <v>11</v>
      </c>
      <c r="C2224" s="2">
        <f>1+C2222</f>
        <v>27</v>
      </c>
      <c r="E2224" s="20" t="str">
        <f>CONCATENATE(A2224,".",B2224,".",C2224)</f>
        <v>6.11.27</v>
      </c>
      <c r="F2224" s="21" t="s">
        <v>3758</v>
      </c>
      <c r="G2224" s="65">
        <v>92000</v>
      </c>
      <c r="H2224" s="23" t="s">
        <v>591</v>
      </c>
      <c r="I2224" s="24" t="s">
        <v>36</v>
      </c>
      <c r="J2224" s="32"/>
      <c r="K2224" s="10"/>
      <c r="L2224" s="32"/>
      <c r="M2224" s="10"/>
      <c r="N2224" s="33"/>
      <c r="O2224" s="11">
        <f>SUM(O2225)</f>
        <v>67</v>
      </c>
    </row>
    <row r="2225" spans="1:15" hidden="1" outlineLevel="2">
      <c r="E2225" s="20"/>
      <c r="F2225" s="21"/>
      <c r="G2225" s="65"/>
      <c r="H2225" s="23"/>
      <c r="I2225" s="24"/>
      <c r="J2225" s="32"/>
      <c r="K2225" s="64"/>
      <c r="L2225" s="32"/>
      <c r="M2225" s="10"/>
      <c r="N2225" s="33">
        <f>57+6+4</f>
        <v>67</v>
      </c>
      <c r="O2225" s="58">
        <f>ROUND(PRODUCT(J2225:N2225),2)</f>
        <v>67</v>
      </c>
    </row>
    <row r="2226" spans="1:15" ht="30" hidden="1" outlineLevel="1">
      <c r="A2226" s="2">
        <v>6</v>
      </c>
      <c r="B2226" s="2">
        <v>11</v>
      </c>
      <c r="C2226" s="2">
        <f>1+C2224</f>
        <v>28</v>
      </c>
      <c r="E2226" s="20" t="str">
        <f>CONCATENATE(A2226,".",B2226,".",C2226)</f>
        <v>6.11.28</v>
      </c>
      <c r="F2226" s="21" t="s">
        <v>3759</v>
      </c>
      <c r="G2226" s="65">
        <v>92001</v>
      </c>
      <c r="H2226" s="23" t="s">
        <v>594</v>
      </c>
      <c r="I2226" s="24" t="s">
        <v>36</v>
      </c>
      <c r="J2226" s="32"/>
      <c r="K2226" s="10"/>
      <c r="L2226" s="32"/>
      <c r="M2226" s="10"/>
      <c r="N2226" s="33"/>
      <c r="O2226" s="11">
        <f>SUM(O2227)</f>
        <v>21</v>
      </c>
    </row>
    <row r="2227" spans="1:15" hidden="1" outlineLevel="2">
      <c r="E2227" s="20"/>
      <c r="F2227" s="21"/>
      <c r="G2227" s="65"/>
      <c r="H2227" s="23"/>
      <c r="I2227" s="24"/>
      <c r="J2227" s="32"/>
      <c r="K2227" s="64"/>
      <c r="L2227" s="32"/>
      <c r="M2227" s="10"/>
      <c r="N2227" s="33">
        <f>13+8</f>
        <v>21</v>
      </c>
      <c r="O2227" s="58">
        <f>ROUND(PRODUCT(J2227:N2227),2)</f>
        <v>21</v>
      </c>
    </row>
    <row r="2228" spans="1:15" ht="30" hidden="1" outlineLevel="1">
      <c r="A2228" s="2">
        <v>6</v>
      </c>
      <c r="B2228" s="2">
        <v>11</v>
      </c>
      <c r="C2228" s="2">
        <f>1+C2226</f>
        <v>29</v>
      </c>
      <c r="E2228" s="20" t="str">
        <f>CONCATENATE(A2228,".",B2228,".",C2228)</f>
        <v>6.11.29</v>
      </c>
      <c r="F2228" s="21" t="s">
        <v>3760</v>
      </c>
      <c r="G2228" s="65">
        <v>93667</v>
      </c>
      <c r="H2228" s="23" t="s">
        <v>489</v>
      </c>
      <c r="I2228" s="24" t="s">
        <v>36</v>
      </c>
      <c r="J2228" s="32"/>
      <c r="K2228" s="10"/>
      <c r="L2228" s="32"/>
      <c r="M2228" s="10"/>
      <c r="N2228" s="33"/>
      <c r="O2228" s="11">
        <f>SUM(O2229)</f>
        <v>3</v>
      </c>
    </row>
    <row r="2229" spans="1:15" hidden="1" outlineLevel="2">
      <c r="E2229" s="20"/>
      <c r="F2229" s="21"/>
      <c r="G2229" s="65"/>
      <c r="H2229" s="23"/>
      <c r="I2229" s="24"/>
      <c r="J2229" s="32"/>
      <c r="K2229" s="64"/>
      <c r="L2229" s="32"/>
      <c r="M2229" s="10"/>
      <c r="N2229" s="33">
        <v>3</v>
      </c>
      <c r="O2229" s="58">
        <f>ROUND(PRODUCT(J2229:N2229),2)</f>
        <v>3</v>
      </c>
    </row>
    <row r="2230" spans="1:15" ht="30" hidden="1" outlineLevel="1">
      <c r="A2230" s="2">
        <v>6</v>
      </c>
      <c r="B2230" s="2">
        <v>11</v>
      </c>
      <c r="C2230" s="2">
        <f>1+C2228</f>
        <v>30</v>
      </c>
      <c r="E2230" s="20" t="str">
        <f>CONCATENATE(A2230,".",B2230,".",C2230)</f>
        <v>6.11.30</v>
      </c>
      <c r="F2230" s="21" t="s">
        <v>3761</v>
      </c>
      <c r="G2230" s="65">
        <v>93668</v>
      </c>
      <c r="H2230" s="23" t="s">
        <v>486</v>
      </c>
      <c r="I2230" s="24" t="s">
        <v>36</v>
      </c>
      <c r="J2230" s="32"/>
      <c r="K2230" s="10"/>
      <c r="L2230" s="32"/>
      <c r="M2230" s="10"/>
      <c r="N2230" s="33"/>
      <c r="O2230" s="11">
        <f>SUM(O2231)</f>
        <v>27</v>
      </c>
    </row>
    <row r="2231" spans="1:15" hidden="1" outlineLevel="2">
      <c r="E2231" s="20"/>
      <c r="F2231" s="21"/>
      <c r="G2231" s="65"/>
      <c r="H2231" s="23"/>
      <c r="I2231" s="24"/>
      <c r="J2231" s="32"/>
      <c r="K2231" s="64"/>
      <c r="L2231" s="32"/>
      <c r="M2231" s="10"/>
      <c r="N2231" s="33">
        <v>27</v>
      </c>
      <c r="O2231" s="58">
        <f>ROUND(PRODUCT(J2231:N2231),2)</f>
        <v>27</v>
      </c>
    </row>
    <row r="2232" spans="1:15" ht="30" hidden="1" outlineLevel="1">
      <c r="A2232" s="2">
        <v>6</v>
      </c>
      <c r="B2232" s="2">
        <v>11</v>
      </c>
      <c r="C2232" s="2">
        <f>1+C2230</f>
        <v>31</v>
      </c>
      <c r="E2232" s="20" t="str">
        <f>CONCATENATE(A2232,".",B2232,".",C2232)</f>
        <v>6.11.31</v>
      </c>
      <c r="F2232" s="21" t="s">
        <v>3762</v>
      </c>
      <c r="G2232" s="65">
        <v>93670</v>
      </c>
      <c r="H2232" s="23" t="s">
        <v>480</v>
      </c>
      <c r="I2232" s="24" t="s">
        <v>36</v>
      </c>
      <c r="J2232" s="32"/>
      <c r="K2232" s="10"/>
      <c r="L2232" s="32"/>
      <c r="M2232" s="10"/>
      <c r="N2232" s="33"/>
      <c r="O2232" s="11">
        <f>SUM(O2233)</f>
        <v>4</v>
      </c>
    </row>
    <row r="2233" spans="1:15" hidden="1" outlineLevel="2">
      <c r="E2233" s="20"/>
      <c r="F2233" s="21"/>
      <c r="G2233" s="65"/>
      <c r="H2233" s="23"/>
      <c r="I2233" s="24"/>
      <c r="J2233" s="32"/>
      <c r="K2233" s="64"/>
      <c r="L2233" s="32"/>
      <c r="M2233" s="10"/>
      <c r="N2233" s="33">
        <v>4</v>
      </c>
      <c r="O2233" s="58">
        <f>ROUND(PRODUCT(J2233:N2233),2)</f>
        <v>4</v>
      </c>
    </row>
    <row r="2234" spans="1:15" ht="30" hidden="1" outlineLevel="1">
      <c r="A2234" s="2">
        <v>6</v>
      </c>
      <c r="B2234" s="2">
        <v>11</v>
      </c>
      <c r="C2234" s="2">
        <f>1+C2232</f>
        <v>32</v>
      </c>
      <c r="E2234" s="20" t="str">
        <f>CONCATENATE(A2234,".",B2234,".",C2234)</f>
        <v>6.11.32</v>
      </c>
      <c r="F2234" s="21" t="s">
        <v>3763</v>
      </c>
      <c r="G2234" s="65">
        <v>93672</v>
      </c>
      <c r="H2234" s="23" t="s">
        <v>477</v>
      </c>
      <c r="I2234" s="24" t="s">
        <v>36</v>
      </c>
      <c r="J2234" s="32"/>
      <c r="K2234" s="10"/>
      <c r="L2234" s="32"/>
      <c r="M2234" s="10"/>
      <c r="N2234" s="33"/>
      <c r="O2234" s="11">
        <f>SUM(O2235)</f>
        <v>2</v>
      </c>
    </row>
    <row r="2235" spans="1:15" hidden="1" outlineLevel="2">
      <c r="E2235" s="20"/>
      <c r="F2235" s="21"/>
      <c r="G2235" s="65"/>
      <c r="H2235" s="23"/>
      <c r="I2235" s="24"/>
      <c r="J2235" s="32"/>
      <c r="K2235" s="64"/>
      <c r="L2235" s="32"/>
      <c r="M2235" s="10"/>
      <c r="N2235" s="33">
        <v>2</v>
      </c>
      <c r="O2235" s="58">
        <f>ROUND(PRODUCT(J2235:N2235),2)</f>
        <v>2</v>
      </c>
    </row>
    <row r="2236" spans="1:15" ht="30" hidden="1" outlineLevel="1">
      <c r="A2236" s="2">
        <v>6</v>
      </c>
      <c r="B2236" s="2">
        <v>11</v>
      </c>
      <c r="C2236" s="2">
        <f>1+C2234</f>
        <v>33</v>
      </c>
      <c r="E2236" s="20" t="str">
        <f>CONCATENATE(A2236,".",B2236,".",C2236)</f>
        <v>6.11.33</v>
      </c>
      <c r="F2236" s="21" t="s">
        <v>3764</v>
      </c>
      <c r="G2236" s="65">
        <v>93673</v>
      </c>
      <c r="H2236" s="23" t="s">
        <v>474</v>
      </c>
      <c r="I2236" s="24" t="s">
        <v>36</v>
      </c>
      <c r="J2236" s="32"/>
      <c r="K2236" s="10"/>
      <c r="L2236" s="32"/>
      <c r="M2236" s="10"/>
      <c r="N2236" s="33"/>
      <c r="O2236" s="11">
        <f>SUM(O2237)</f>
        <v>5</v>
      </c>
    </row>
    <row r="2237" spans="1:15" hidden="1" outlineLevel="2">
      <c r="E2237" s="20"/>
      <c r="F2237" s="21"/>
      <c r="G2237" s="65"/>
      <c r="H2237" s="23"/>
      <c r="I2237" s="24"/>
      <c r="J2237" s="32"/>
      <c r="K2237" s="64"/>
      <c r="L2237" s="32"/>
      <c r="M2237" s="10"/>
      <c r="N2237" s="33">
        <v>5</v>
      </c>
      <c r="O2237" s="58">
        <f>ROUND(PRODUCT(J2237:N2237),2)</f>
        <v>5</v>
      </c>
    </row>
    <row r="2238" spans="1:15" ht="30" hidden="1" outlineLevel="1">
      <c r="A2238" s="2">
        <v>6</v>
      </c>
      <c r="B2238" s="2">
        <v>11</v>
      </c>
      <c r="C2238" s="2">
        <f>1+C2236</f>
        <v>34</v>
      </c>
      <c r="E2238" s="20" t="str">
        <f>CONCATENATE(A2238,".",B2238,".",C2238)</f>
        <v>6.11.34</v>
      </c>
      <c r="F2238" s="21" t="s">
        <v>3765</v>
      </c>
      <c r="G2238" s="65">
        <v>101894</v>
      </c>
      <c r="H2238" s="23" t="s">
        <v>3766</v>
      </c>
      <c r="I2238" s="24" t="s">
        <v>36</v>
      </c>
      <c r="J2238" s="32"/>
      <c r="K2238" s="10"/>
      <c r="L2238" s="32"/>
      <c r="M2238" s="10"/>
      <c r="N2238" s="33"/>
      <c r="O2238" s="11">
        <f>SUM(O2239)</f>
        <v>1</v>
      </c>
    </row>
    <row r="2239" spans="1:15" hidden="1" outlineLevel="2">
      <c r="E2239" s="20"/>
      <c r="F2239" s="21"/>
      <c r="G2239" s="65"/>
      <c r="H2239" s="23"/>
      <c r="I2239" s="24"/>
      <c r="J2239" s="32"/>
      <c r="K2239" s="64"/>
      <c r="L2239" s="32"/>
      <c r="M2239" s="10"/>
      <c r="N2239" s="33">
        <v>1</v>
      </c>
      <c r="O2239" s="58">
        <f>ROUND(PRODUCT(J2239:N2239),2)</f>
        <v>1</v>
      </c>
    </row>
    <row r="2240" spans="1:15" ht="31.5" hidden="1" customHeight="1" outlineLevel="1">
      <c r="A2240" s="2">
        <v>6</v>
      </c>
      <c r="B2240" s="2">
        <v>11</v>
      </c>
      <c r="C2240" s="2">
        <f>1+C2238</f>
        <v>35</v>
      </c>
      <c r="E2240" s="20" t="str">
        <f>CONCATENATE(A2240,".",B2240,".",C2240)</f>
        <v>6.11.35</v>
      </c>
      <c r="F2240" s="21" t="s">
        <v>3767</v>
      </c>
      <c r="G2240" s="65">
        <v>93653</v>
      </c>
      <c r="H2240" s="23" t="s">
        <v>513</v>
      </c>
      <c r="I2240" s="24" t="s">
        <v>36</v>
      </c>
      <c r="J2240" s="32"/>
      <c r="K2240" s="10"/>
      <c r="L2240" s="32"/>
      <c r="M2240" s="10"/>
      <c r="N2240" s="33"/>
      <c r="O2240" s="11">
        <f>SUM(O2241)</f>
        <v>54</v>
      </c>
    </row>
    <row r="2241" spans="1:15" ht="31.5" hidden="1" customHeight="1" outlineLevel="2">
      <c r="E2241" s="20"/>
      <c r="F2241" s="21"/>
      <c r="G2241" s="65"/>
      <c r="H2241" s="23"/>
      <c r="I2241" s="24"/>
      <c r="J2241" s="32"/>
      <c r="K2241" s="64"/>
      <c r="L2241" s="32"/>
      <c r="M2241" s="10"/>
      <c r="N2241" s="33">
        <f>53+1</f>
        <v>54</v>
      </c>
      <c r="O2241" s="58">
        <f>ROUND(PRODUCT(J2241:N2241),2)</f>
        <v>54</v>
      </c>
    </row>
    <row r="2242" spans="1:15" ht="31.5" hidden="1" customHeight="1" outlineLevel="1">
      <c r="A2242" s="2">
        <v>6</v>
      </c>
      <c r="B2242" s="2">
        <v>11</v>
      </c>
      <c r="C2242" s="2">
        <f>1+C2240</f>
        <v>36</v>
      </c>
      <c r="E2242" s="20" t="str">
        <f>CONCATENATE(A2242,".",B2242,".",C2242)</f>
        <v>6.11.36</v>
      </c>
      <c r="F2242" s="21" t="s">
        <v>3768</v>
      </c>
      <c r="G2242" s="65">
        <v>93654</v>
      </c>
      <c r="H2242" s="23" t="s">
        <v>510</v>
      </c>
      <c r="I2242" s="24" t="s">
        <v>36</v>
      </c>
      <c r="J2242" s="32"/>
      <c r="K2242" s="10"/>
      <c r="L2242" s="32"/>
      <c r="M2242" s="10"/>
      <c r="N2242" s="33"/>
      <c r="O2242" s="11">
        <f>SUM(O2243)</f>
        <v>13</v>
      </c>
    </row>
    <row r="2243" spans="1:15" ht="31.5" hidden="1" customHeight="1" outlineLevel="2">
      <c r="E2243" s="20"/>
      <c r="F2243" s="21"/>
      <c r="G2243" s="65"/>
      <c r="H2243" s="23"/>
      <c r="I2243" s="24"/>
      <c r="J2243" s="32"/>
      <c r="K2243" s="64"/>
      <c r="L2243" s="32"/>
      <c r="M2243" s="10"/>
      <c r="N2243" s="33">
        <v>13</v>
      </c>
      <c r="O2243" s="58">
        <f>ROUND(PRODUCT(J2243:N2243),2)</f>
        <v>13</v>
      </c>
    </row>
    <row r="2244" spans="1:15" ht="31.5" hidden="1" customHeight="1" outlineLevel="1">
      <c r="A2244" s="2">
        <v>6</v>
      </c>
      <c r="B2244" s="2">
        <v>11</v>
      </c>
      <c r="C2244" s="2">
        <f>1+C2242</f>
        <v>37</v>
      </c>
      <c r="E2244" s="20" t="str">
        <f>CONCATENATE(A2244,".",B2244,".",C2244)</f>
        <v>6.11.37</v>
      </c>
      <c r="F2244" s="21" t="s">
        <v>3769</v>
      </c>
      <c r="G2244" s="65">
        <v>93655</v>
      </c>
      <c r="H2244" s="23" t="s">
        <v>507</v>
      </c>
      <c r="I2244" s="24" t="s">
        <v>36</v>
      </c>
      <c r="J2244" s="32"/>
      <c r="K2244" s="10"/>
      <c r="L2244" s="32"/>
      <c r="M2244" s="10"/>
      <c r="N2244" s="33"/>
      <c r="O2244" s="11">
        <f>SUM(O2245)</f>
        <v>3</v>
      </c>
    </row>
    <row r="2245" spans="1:15" ht="31.5" hidden="1" customHeight="1" outlineLevel="2">
      <c r="E2245" s="20"/>
      <c r="F2245" s="21"/>
      <c r="G2245" s="65"/>
      <c r="H2245" s="23"/>
      <c r="I2245" s="24"/>
      <c r="J2245" s="32"/>
      <c r="K2245" s="64"/>
      <c r="L2245" s="32"/>
      <c r="M2245" s="10"/>
      <c r="N2245" s="33">
        <v>3</v>
      </c>
      <c r="O2245" s="58">
        <f>ROUND(PRODUCT(J2245:N2245),2)</f>
        <v>3</v>
      </c>
    </row>
    <row r="2246" spans="1:15" ht="31.5" hidden="1" customHeight="1" outlineLevel="1">
      <c r="A2246" s="2">
        <v>6</v>
      </c>
      <c r="B2246" s="2">
        <v>11</v>
      </c>
      <c r="C2246" s="2">
        <f>1+C2244</f>
        <v>38</v>
      </c>
      <c r="E2246" s="20" t="str">
        <f>CONCATENATE(A2246,".",B2246,".",C2246)</f>
        <v>6.11.38</v>
      </c>
      <c r="F2246" s="21" t="s">
        <v>3770</v>
      </c>
      <c r="G2246" s="65">
        <v>93656</v>
      </c>
      <c r="H2246" s="23" t="s">
        <v>504</v>
      </c>
      <c r="I2246" s="24" t="s">
        <v>36</v>
      </c>
      <c r="J2246" s="32"/>
      <c r="K2246" s="10"/>
      <c r="L2246" s="32"/>
      <c r="M2246" s="10"/>
      <c r="N2246" s="33"/>
      <c r="O2246" s="11">
        <f>SUM(O2247)</f>
        <v>2</v>
      </c>
    </row>
    <row r="2247" spans="1:15" ht="31.5" hidden="1" customHeight="1" outlineLevel="2">
      <c r="E2247" s="20"/>
      <c r="F2247" s="21"/>
      <c r="G2247" s="65"/>
      <c r="H2247" s="23"/>
      <c r="I2247" s="24"/>
      <c r="J2247" s="32"/>
      <c r="K2247" s="64"/>
      <c r="L2247" s="32"/>
      <c r="M2247" s="10"/>
      <c r="N2247" s="33">
        <v>2</v>
      </c>
      <c r="O2247" s="58">
        <f>ROUND(PRODUCT(J2247:N2247),2)</f>
        <v>2</v>
      </c>
    </row>
    <row r="2248" spans="1:15" ht="31.5" hidden="1" customHeight="1" outlineLevel="1">
      <c r="A2248" s="2">
        <v>6</v>
      </c>
      <c r="B2248" s="2">
        <v>11</v>
      </c>
      <c r="C2248" s="2">
        <f>1+C2246</f>
        <v>39</v>
      </c>
      <c r="E2248" s="20" t="str">
        <f>CONCATENATE(A2248,".",B2248,".",C2248)</f>
        <v>6.11.39</v>
      </c>
      <c r="F2248" s="21" t="s">
        <v>3771</v>
      </c>
      <c r="G2248" s="65">
        <v>101895</v>
      </c>
      <c r="H2248" s="23" t="s">
        <v>3185</v>
      </c>
      <c r="I2248" s="24" t="s">
        <v>36</v>
      </c>
      <c r="J2248" s="32"/>
      <c r="K2248" s="10"/>
      <c r="L2248" s="32"/>
      <c r="M2248" s="10"/>
      <c r="N2248" s="33"/>
      <c r="O2248" s="11">
        <f>SUM(O2249)</f>
        <v>3</v>
      </c>
    </row>
    <row r="2249" spans="1:15" hidden="1" outlineLevel="2">
      <c r="E2249" s="20"/>
      <c r="F2249" s="21"/>
      <c r="G2249" s="65"/>
      <c r="H2249" s="23"/>
      <c r="I2249" s="24"/>
      <c r="J2249" s="32"/>
      <c r="K2249" s="64"/>
      <c r="L2249" s="32"/>
      <c r="M2249" s="10"/>
      <c r="N2249" s="33">
        <f>2+1</f>
        <v>3</v>
      </c>
      <c r="O2249" s="58">
        <f>ROUND(PRODUCT(J2249:N2249),2)</f>
        <v>3</v>
      </c>
    </row>
    <row r="2250" spans="1:15" ht="30" hidden="1" outlineLevel="1">
      <c r="A2250" s="2">
        <v>6</v>
      </c>
      <c r="B2250" s="2">
        <v>11</v>
      </c>
      <c r="C2250" s="2">
        <f>1+C2248</f>
        <v>40</v>
      </c>
      <c r="E2250" s="20" t="str">
        <f>CONCATENATE(A2250,".",B2250,".",C2250)</f>
        <v>6.11.40</v>
      </c>
      <c r="F2250" s="21" t="s">
        <v>3772</v>
      </c>
      <c r="G2250" s="65">
        <v>93669</v>
      </c>
      <c r="H2250" s="23" t="s">
        <v>483</v>
      </c>
      <c r="I2250" s="24" t="s">
        <v>36</v>
      </c>
      <c r="J2250" s="32"/>
      <c r="K2250" s="10"/>
      <c r="L2250" s="32"/>
      <c r="M2250" s="10"/>
      <c r="N2250" s="33"/>
      <c r="O2250" s="11">
        <f>SUM(O2251)</f>
        <v>1</v>
      </c>
    </row>
    <row r="2251" spans="1:15" hidden="1" outlineLevel="2">
      <c r="E2251" s="20"/>
      <c r="F2251" s="21"/>
      <c r="G2251" s="65"/>
      <c r="H2251" s="23"/>
      <c r="I2251" s="24"/>
      <c r="J2251" s="32"/>
      <c r="K2251" s="64"/>
      <c r="L2251" s="32"/>
      <c r="M2251" s="10"/>
      <c r="N2251" s="33">
        <v>1</v>
      </c>
      <c r="O2251" s="58">
        <f>ROUND(PRODUCT(J2251:N2251),2)</f>
        <v>1</v>
      </c>
    </row>
    <row r="2252" spans="1:15" ht="45" hidden="1" outlineLevel="1">
      <c r="A2252" s="2">
        <v>6</v>
      </c>
      <c r="B2252" s="2">
        <v>11</v>
      </c>
      <c r="C2252" s="2">
        <f>1+C2250</f>
        <v>41</v>
      </c>
      <c r="E2252" s="20" t="str">
        <f>CONCATENATE(A2252,".",B2252,".",C2252)</f>
        <v>6.11.41</v>
      </c>
      <c r="F2252" s="21" t="s">
        <v>3773</v>
      </c>
      <c r="G2252" s="65">
        <v>91857</v>
      </c>
      <c r="H2252" s="23" t="s">
        <v>3774</v>
      </c>
      <c r="I2252" s="24" t="s">
        <v>144</v>
      </c>
      <c r="J2252" s="32"/>
      <c r="K2252" s="10"/>
      <c r="L2252" s="32"/>
      <c r="M2252" s="10"/>
      <c r="N2252" s="33"/>
      <c r="O2252" s="11">
        <f>SUM(O2253)</f>
        <v>164.7</v>
      </c>
    </row>
    <row r="2253" spans="1:15" hidden="1" outlineLevel="2">
      <c r="E2253" s="20"/>
      <c r="F2253" s="21"/>
      <c r="G2253" s="65"/>
      <c r="H2253" s="23"/>
      <c r="I2253" s="24"/>
      <c r="J2253" s="32"/>
      <c r="K2253" s="64"/>
      <c r="L2253" s="32"/>
      <c r="M2253" s="10"/>
      <c r="N2253" s="33">
        <f>24.5+140.2</f>
        <v>164.7</v>
      </c>
      <c r="O2253" s="58">
        <f>ROUND(PRODUCT(J2253:N2253),2)</f>
        <v>164.7</v>
      </c>
    </row>
    <row r="2254" spans="1:15" ht="45" hidden="1" outlineLevel="1">
      <c r="A2254" s="2">
        <v>6</v>
      </c>
      <c r="B2254" s="2">
        <v>11</v>
      </c>
      <c r="C2254" s="2">
        <f>1+C2252</f>
        <v>42</v>
      </c>
      <c r="E2254" s="20" t="str">
        <f>CONCATENATE(A2254,".",B2254,".",C2254)</f>
        <v>6.11.42</v>
      </c>
      <c r="F2254" s="21" t="s">
        <v>3775</v>
      </c>
      <c r="G2254" s="65">
        <v>91855</v>
      </c>
      <c r="H2254" s="23" t="s">
        <v>3776</v>
      </c>
      <c r="I2254" s="24" t="s">
        <v>144</v>
      </c>
      <c r="J2254" s="32"/>
      <c r="K2254" s="10"/>
      <c r="L2254" s="32"/>
      <c r="M2254" s="10"/>
      <c r="N2254" s="33"/>
      <c r="O2254" s="11">
        <f>SUM(O2255:O2256)</f>
        <v>1848.5</v>
      </c>
    </row>
    <row r="2255" spans="1:15" hidden="1" outlineLevel="2">
      <c r="E2255" s="20"/>
      <c r="F2255" s="21"/>
      <c r="G2255" s="65"/>
      <c r="H2255" s="30" t="s">
        <v>3743</v>
      </c>
      <c r="I2255" s="24"/>
      <c r="J2255" s="32"/>
      <c r="K2255" s="64"/>
      <c r="L2255" s="32"/>
      <c r="M2255" s="10"/>
      <c r="N2255" s="33">
        <f>6.4+1732.6</f>
        <v>1739</v>
      </c>
      <c r="O2255" s="58">
        <f>ROUND(PRODUCT(J2255:N2255),2)</f>
        <v>1739</v>
      </c>
    </row>
    <row r="2256" spans="1:15" hidden="1" outlineLevel="2">
      <c r="E2256" s="20"/>
      <c r="F2256" s="21"/>
      <c r="G2256" s="65"/>
      <c r="H2256" s="30" t="s">
        <v>3744</v>
      </c>
      <c r="I2256" s="24"/>
      <c r="J2256" s="32"/>
      <c r="K2256" s="64"/>
      <c r="L2256" s="32"/>
      <c r="M2256" s="10"/>
      <c r="N2256" s="33">
        <v>109.5</v>
      </c>
      <c r="O2256" s="58">
        <f>ROUND(PRODUCT(J2256:N2256),2)</f>
        <v>109.5</v>
      </c>
    </row>
    <row r="2257" spans="1:15" ht="30" hidden="1" outlineLevel="1">
      <c r="A2257" s="2">
        <v>6</v>
      </c>
      <c r="B2257" s="2">
        <v>11</v>
      </c>
      <c r="C2257" s="2">
        <f>1+C2254</f>
        <v>43</v>
      </c>
      <c r="E2257" s="20" t="str">
        <f>CONCATENATE(A2257,".",B2257,".",C2257)</f>
        <v>6.11.43</v>
      </c>
      <c r="F2257" s="21" t="s">
        <v>3777</v>
      </c>
      <c r="G2257" s="65">
        <v>97669</v>
      </c>
      <c r="H2257" s="23" t="s">
        <v>676</v>
      </c>
      <c r="I2257" s="24" t="s">
        <v>144</v>
      </c>
      <c r="J2257" s="32"/>
      <c r="K2257" s="10"/>
      <c r="L2257" s="32"/>
      <c r="M2257" s="10"/>
      <c r="N2257" s="33"/>
      <c r="O2257" s="11">
        <f>SUM(O2258)</f>
        <v>28.4</v>
      </c>
    </row>
    <row r="2258" spans="1:15" hidden="1" outlineLevel="2">
      <c r="E2258" s="20"/>
      <c r="F2258" s="21"/>
      <c r="G2258" s="65"/>
      <c r="H2258" s="23"/>
      <c r="I2258" s="24"/>
      <c r="J2258" s="32"/>
      <c r="K2258" s="64"/>
      <c r="L2258" s="32"/>
      <c r="M2258" s="10"/>
      <c r="N2258" s="33">
        <v>28.4</v>
      </c>
      <c r="O2258" s="58">
        <f>ROUND(PRODUCT(J2258:N2258),2)</f>
        <v>28.4</v>
      </c>
    </row>
    <row r="2259" spans="1:15" ht="30" hidden="1" outlineLevel="1">
      <c r="A2259" s="2">
        <v>6</v>
      </c>
      <c r="B2259" s="2">
        <v>11</v>
      </c>
      <c r="C2259" s="2">
        <f>1+C2257</f>
        <v>44</v>
      </c>
      <c r="E2259" s="20" t="str">
        <f>CONCATENATE(A2259,".",B2259,".",C2259)</f>
        <v>6.11.44</v>
      </c>
      <c r="F2259" s="21" t="s">
        <v>3778</v>
      </c>
      <c r="G2259" s="65">
        <v>91864</v>
      </c>
      <c r="H2259" s="23" t="s">
        <v>3374</v>
      </c>
      <c r="I2259" s="24" t="s">
        <v>144</v>
      </c>
      <c r="J2259" s="32"/>
      <c r="K2259" s="10"/>
      <c r="L2259" s="32"/>
      <c r="M2259" s="10"/>
      <c r="N2259" s="33"/>
      <c r="O2259" s="11">
        <f>SUM(O2260)</f>
        <v>12.4</v>
      </c>
    </row>
    <row r="2260" spans="1:15" hidden="1" outlineLevel="2">
      <c r="E2260" s="20"/>
      <c r="F2260" s="21"/>
      <c r="G2260" s="65"/>
      <c r="H2260" s="23"/>
      <c r="I2260" s="24"/>
      <c r="J2260" s="32"/>
      <c r="K2260" s="64"/>
      <c r="L2260" s="32"/>
      <c r="M2260" s="10"/>
      <c r="N2260" s="33">
        <v>12.4</v>
      </c>
      <c r="O2260" s="58">
        <f>ROUND(PRODUCT(J2260:N2260),2)</f>
        <v>12.4</v>
      </c>
    </row>
    <row r="2261" spans="1:15" ht="30" hidden="1" outlineLevel="1">
      <c r="A2261" s="2">
        <v>6</v>
      </c>
      <c r="B2261" s="2">
        <v>11</v>
      </c>
      <c r="C2261" s="2">
        <f>1+C2259</f>
        <v>45</v>
      </c>
      <c r="E2261" s="20" t="str">
        <f>CONCATENATE(A2261,".",B2261,".",C2261)</f>
        <v>6.11.45</v>
      </c>
      <c r="F2261" s="21" t="s">
        <v>3779</v>
      </c>
      <c r="G2261" s="65">
        <v>93008</v>
      </c>
      <c r="H2261" s="23" t="s">
        <v>2644</v>
      </c>
      <c r="I2261" s="24" t="s">
        <v>144</v>
      </c>
      <c r="J2261" s="32"/>
      <c r="K2261" s="10"/>
      <c r="L2261" s="32"/>
      <c r="M2261" s="10"/>
      <c r="N2261" s="33"/>
      <c r="O2261" s="11">
        <f>SUM(O2262)</f>
        <v>72.400000000000006</v>
      </c>
    </row>
    <row r="2262" spans="1:15" hidden="1" outlineLevel="2">
      <c r="E2262" s="20"/>
      <c r="F2262" s="21"/>
      <c r="G2262" s="65"/>
      <c r="H2262" s="23"/>
      <c r="I2262" s="24"/>
      <c r="J2262" s="32"/>
      <c r="K2262" s="64"/>
      <c r="L2262" s="32"/>
      <c r="M2262" s="10"/>
      <c r="N2262" s="33">
        <v>72.400000000000006</v>
      </c>
      <c r="O2262" s="58">
        <f>ROUND(PRODUCT(J2262:N2262),2)</f>
        <v>72.400000000000006</v>
      </c>
    </row>
    <row r="2263" spans="1:15" ht="30" hidden="1" outlineLevel="1">
      <c r="A2263" s="2">
        <v>6</v>
      </c>
      <c r="B2263" s="2">
        <v>11</v>
      </c>
      <c r="C2263" s="2">
        <f>1+C2261</f>
        <v>46</v>
      </c>
      <c r="E2263" s="20" t="str">
        <f>CONCATENATE(A2263,".",B2263,".",C2263)</f>
        <v>6.11.46</v>
      </c>
      <c r="F2263" s="21" t="s">
        <v>3780</v>
      </c>
      <c r="G2263" s="65">
        <v>91865</v>
      </c>
      <c r="H2263" s="23" t="s">
        <v>637</v>
      </c>
      <c r="I2263" s="24" t="s">
        <v>144</v>
      </c>
      <c r="J2263" s="32"/>
      <c r="K2263" s="10"/>
      <c r="L2263" s="32"/>
      <c r="M2263" s="10"/>
      <c r="N2263" s="33"/>
      <c r="O2263" s="11">
        <f>SUM(O2264)</f>
        <v>17.2</v>
      </c>
    </row>
    <row r="2264" spans="1:15" hidden="1" outlineLevel="2">
      <c r="E2264" s="20"/>
      <c r="F2264" s="21"/>
      <c r="G2264" s="65"/>
      <c r="H2264" s="23"/>
      <c r="I2264" s="24"/>
      <c r="J2264" s="32"/>
      <c r="K2264" s="64"/>
      <c r="L2264" s="32"/>
      <c r="M2264" s="10"/>
      <c r="N2264" s="33">
        <v>17.2</v>
      </c>
      <c r="O2264" s="58">
        <f>ROUND(PRODUCT(J2264:N2264),2)</f>
        <v>17.2</v>
      </c>
    </row>
    <row r="2265" spans="1:15" ht="30" hidden="1" outlineLevel="1">
      <c r="A2265" s="2">
        <v>6</v>
      </c>
      <c r="B2265" s="2">
        <v>11</v>
      </c>
      <c r="C2265" s="2">
        <f>1+C2263</f>
        <v>47</v>
      </c>
      <c r="E2265" s="20" t="str">
        <f>CONCATENATE(A2265,".",B2265,".",C2265)</f>
        <v>6.11.47</v>
      </c>
      <c r="F2265" s="21" t="s">
        <v>3781</v>
      </c>
      <c r="G2265" s="65">
        <v>91862</v>
      </c>
      <c r="H2265" s="23" t="s">
        <v>3782</v>
      </c>
      <c r="I2265" s="24" t="s">
        <v>144</v>
      </c>
      <c r="J2265" s="32"/>
      <c r="K2265" s="10"/>
      <c r="L2265" s="32"/>
      <c r="M2265" s="10"/>
      <c r="N2265" s="33"/>
      <c r="O2265" s="11">
        <f>SUM(O2266)</f>
        <v>3</v>
      </c>
    </row>
    <row r="2266" spans="1:15" hidden="1" outlineLevel="2">
      <c r="E2266" s="20"/>
      <c r="F2266" s="21"/>
      <c r="G2266" s="65"/>
      <c r="H2266" s="23"/>
      <c r="I2266" s="24"/>
      <c r="J2266" s="32"/>
      <c r="K2266" s="64"/>
      <c r="L2266" s="32"/>
      <c r="M2266" s="10"/>
      <c r="N2266" s="33">
        <v>3</v>
      </c>
      <c r="O2266" s="58">
        <f>ROUND(PRODUCT(J2266:N2266),2)</f>
        <v>3</v>
      </c>
    </row>
    <row r="2267" spans="1:15" ht="30" hidden="1" outlineLevel="1">
      <c r="A2267" s="2">
        <v>6</v>
      </c>
      <c r="B2267" s="2">
        <v>11</v>
      </c>
      <c r="C2267" s="2">
        <f>1+C2265</f>
        <v>48</v>
      </c>
      <c r="E2267" s="20" t="str">
        <f>CONCATENATE(A2267,".",B2267,".",C2267)</f>
        <v>6.11.48</v>
      </c>
      <c r="F2267" s="21" t="s">
        <v>3783</v>
      </c>
      <c r="G2267" s="65">
        <v>93009</v>
      </c>
      <c r="H2267" s="23" t="s">
        <v>3784</v>
      </c>
      <c r="I2267" s="24" t="s">
        <v>144</v>
      </c>
      <c r="J2267" s="32"/>
      <c r="K2267" s="10"/>
      <c r="L2267" s="32"/>
      <c r="M2267" s="10"/>
      <c r="N2267" s="33"/>
      <c r="O2267" s="11">
        <f>SUM(O2268)</f>
        <v>45.7</v>
      </c>
    </row>
    <row r="2268" spans="1:15" hidden="1" outlineLevel="2">
      <c r="E2268" s="20"/>
      <c r="F2268" s="21"/>
      <c r="G2268" s="65"/>
      <c r="H2268" s="23"/>
      <c r="I2268" s="24"/>
      <c r="J2268" s="32"/>
      <c r="K2268" s="64"/>
      <c r="L2268" s="32"/>
      <c r="M2268" s="10"/>
      <c r="N2268" s="33">
        <v>45.7</v>
      </c>
      <c r="O2268" s="58">
        <f>ROUND(PRODUCT(J2268:N2268),2)</f>
        <v>45.7</v>
      </c>
    </row>
    <row r="2269" spans="1:15" ht="30" hidden="1" outlineLevel="1">
      <c r="A2269" s="2">
        <v>6</v>
      </c>
      <c r="B2269" s="2">
        <v>11</v>
      </c>
      <c r="C2269" s="2">
        <f>1+C2267</f>
        <v>49</v>
      </c>
      <c r="E2269" s="20" t="str">
        <f>CONCATENATE(A2269,".",B2269,".",C2269)</f>
        <v>6.11.49</v>
      </c>
      <c r="F2269" s="21" t="s">
        <v>3785</v>
      </c>
      <c r="G2269" s="65">
        <v>93010</v>
      </c>
      <c r="H2269" s="23" t="s">
        <v>2650</v>
      </c>
      <c r="I2269" s="24" t="s">
        <v>144</v>
      </c>
      <c r="J2269" s="32"/>
      <c r="K2269" s="10"/>
      <c r="L2269" s="32"/>
      <c r="M2269" s="10"/>
      <c r="N2269" s="33"/>
      <c r="O2269" s="11">
        <f>SUM(O2270)</f>
        <v>116.8</v>
      </c>
    </row>
    <row r="2270" spans="1:15" hidden="1" outlineLevel="2">
      <c r="E2270" s="20"/>
      <c r="F2270" s="21"/>
      <c r="G2270" s="65"/>
      <c r="H2270" s="23"/>
      <c r="I2270" s="24"/>
      <c r="J2270" s="32"/>
      <c r="K2270" s="64"/>
      <c r="L2270" s="32"/>
      <c r="M2270" s="10"/>
      <c r="N2270" s="33">
        <v>116.8</v>
      </c>
      <c r="O2270" s="58">
        <f>ROUND(PRODUCT(J2270:N2270),2)</f>
        <v>116.8</v>
      </c>
    </row>
    <row r="2271" spans="1:15" ht="30" hidden="1" outlineLevel="1">
      <c r="A2271" s="2">
        <v>6</v>
      </c>
      <c r="B2271" s="2">
        <v>11</v>
      </c>
      <c r="C2271" s="2">
        <f>1+C2269</f>
        <v>50</v>
      </c>
      <c r="E2271" s="20" t="str">
        <f>CONCATENATE(A2271,".",B2271,".",C2271)</f>
        <v>6.11.50</v>
      </c>
      <c r="F2271" s="21" t="s">
        <v>3786</v>
      </c>
      <c r="G2271" s="65">
        <v>91863</v>
      </c>
      <c r="H2271" s="23" t="s">
        <v>2426</v>
      </c>
      <c r="I2271" s="24" t="s">
        <v>144</v>
      </c>
      <c r="J2271" s="32"/>
      <c r="K2271" s="10"/>
      <c r="L2271" s="32"/>
      <c r="M2271" s="10"/>
      <c r="N2271" s="33"/>
      <c r="O2271" s="11">
        <f>SUM(O2272)</f>
        <v>53.4</v>
      </c>
    </row>
    <row r="2272" spans="1:15" hidden="1" outlineLevel="2">
      <c r="E2272" s="20"/>
      <c r="F2272" s="21"/>
      <c r="G2272" s="65"/>
      <c r="H2272" s="23"/>
      <c r="I2272" s="24"/>
      <c r="J2272" s="32"/>
      <c r="K2272" s="64"/>
      <c r="L2272" s="32"/>
      <c r="M2272" s="10"/>
      <c r="N2272" s="33">
        <v>53.4</v>
      </c>
      <c r="O2272" s="58">
        <f>ROUND(PRODUCT(J2272:N2272),2)</f>
        <v>53.4</v>
      </c>
    </row>
    <row r="2273" spans="1:16" ht="30" hidden="1" outlineLevel="1">
      <c r="A2273" s="2">
        <v>6</v>
      </c>
      <c r="B2273" s="2">
        <v>11</v>
      </c>
      <c r="C2273" s="2">
        <f>1+C2271</f>
        <v>51</v>
      </c>
      <c r="E2273" s="20" t="str">
        <f>CONCATENATE(A2273,".",B2273,".",C2273)</f>
        <v>6.11.51</v>
      </c>
      <c r="F2273" s="21" t="s">
        <v>3787</v>
      </c>
      <c r="G2273" s="65">
        <v>93011</v>
      </c>
      <c r="H2273" s="23" t="s">
        <v>3788</v>
      </c>
      <c r="I2273" s="24" t="s">
        <v>144</v>
      </c>
      <c r="J2273" s="32"/>
      <c r="K2273" s="10"/>
      <c r="L2273" s="32"/>
      <c r="M2273" s="10"/>
      <c r="N2273" s="33"/>
      <c r="O2273" s="11">
        <f>SUM(O2274)</f>
        <v>28.4</v>
      </c>
    </row>
    <row r="2274" spans="1:16" hidden="1" outlineLevel="2">
      <c r="E2274" s="20"/>
      <c r="F2274" s="21"/>
      <c r="G2274" s="65"/>
      <c r="H2274" s="23"/>
      <c r="I2274" s="24"/>
      <c r="J2274" s="32"/>
      <c r="K2274" s="64"/>
      <c r="L2274" s="32"/>
      <c r="M2274" s="10"/>
      <c r="N2274" s="33">
        <v>28.4</v>
      </c>
      <c r="O2274" s="58">
        <f>ROUND(PRODUCT(J2274:N2274),2)</f>
        <v>28.4</v>
      </c>
    </row>
    <row r="2275" spans="1:16" ht="30" hidden="1" outlineLevel="1">
      <c r="A2275" s="2">
        <v>6</v>
      </c>
      <c r="B2275" s="2">
        <v>11</v>
      </c>
      <c r="C2275" s="2">
        <f>1+C2273</f>
        <v>52</v>
      </c>
      <c r="E2275" s="20" t="str">
        <f>CONCATENATE(A2275,".",B2275,".",C2275)</f>
        <v>6.11.52</v>
      </c>
      <c r="F2275" s="21" t="s">
        <v>3789</v>
      </c>
      <c r="G2275" s="65">
        <v>96986</v>
      </c>
      <c r="H2275" s="23" t="s">
        <v>2668</v>
      </c>
      <c r="I2275" s="24" t="s">
        <v>36</v>
      </c>
      <c r="J2275" s="32"/>
      <c r="K2275" s="10"/>
      <c r="L2275" s="32"/>
      <c r="M2275" s="10"/>
      <c r="N2275" s="33"/>
      <c r="O2275" s="11">
        <f>SUM(O2276)</f>
        <v>1</v>
      </c>
    </row>
    <row r="2276" spans="1:16" hidden="1" outlineLevel="2">
      <c r="E2276" s="20"/>
      <c r="F2276" s="21"/>
      <c r="G2276" s="65"/>
      <c r="H2276" s="23"/>
      <c r="I2276" s="24"/>
      <c r="J2276" s="32"/>
      <c r="K2276" s="64"/>
      <c r="L2276" s="32"/>
      <c r="M2276" s="10"/>
      <c r="N2276" s="33">
        <v>1</v>
      </c>
      <c r="O2276" s="58">
        <f>ROUND(PRODUCT(J2276:N2276),2)</f>
        <v>1</v>
      </c>
    </row>
    <row r="2277" spans="1:16" ht="30" hidden="1" outlineLevel="1">
      <c r="A2277" s="2">
        <v>6</v>
      </c>
      <c r="B2277" s="2">
        <v>11</v>
      </c>
      <c r="C2277" s="2">
        <f>1+C2275</f>
        <v>53</v>
      </c>
      <c r="E2277" s="20" t="str">
        <f>CONCATENATE(A2277,".",B2277,".",C2277)</f>
        <v>6.11.53</v>
      </c>
      <c r="F2277" s="21" t="s">
        <v>3790</v>
      </c>
      <c r="G2277" s="65">
        <v>101548</v>
      </c>
      <c r="H2277" s="23" t="s">
        <v>3791</v>
      </c>
      <c r="I2277" s="24" t="s">
        <v>36</v>
      </c>
      <c r="J2277" s="32"/>
      <c r="K2277" s="10"/>
      <c r="L2277" s="32"/>
      <c r="M2277" s="10"/>
      <c r="N2277" s="33"/>
      <c r="O2277" s="11">
        <f>SUM(O2278)</f>
        <v>4</v>
      </c>
    </row>
    <row r="2278" spans="1:16" hidden="1" outlineLevel="2">
      <c r="E2278" s="20"/>
      <c r="F2278" s="21"/>
      <c r="G2278" s="65"/>
      <c r="H2278" s="23"/>
      <c r="I2278" s="24"/>
      <c r="J2278" s="32"/>
      <c r="K2278" s="64"/>
      <c r="L2278" s="32"/>
      <c r="M2278" s="10"/>
      <c r="N2278" s="33">
        <v>4</v>
      </c>
      <c r="O2278" s="58">
        <f>ROUND(PRODUCT(J2278:N2278),2)</f>
        <v>4</v>
      </c>
    </row>
    <row r="2279" spans="1:16" ht="45" hidden="1" outlineLevel="1">
      <c r="A2279" s="2">
        <v>6</v>
      </c>
      <c r="B2279" s="2">
        <v>11</v>
      </c>
      <c r="C2279" s="2">
        <f>1+C2277</f>
        <v>54</v>
      </c>
      <c r="E2279" s="20" t="str">
        <f>CONCATENATE(A2279,".",B2279,".",C2279)</f>
        <v>6.11.54</v>
      </c>
      <c r="F2279" s="21" t="s">
        <v>3792</v>
      </c>
      <c r="G2279" s="65">
        <v>101881</v>
      </c>
      <c r="H2279" s="23" t="s">
        <v>3219</v>
      </c>
      <c r="I2279" s="24" t="s">
        <v>36</v>
      </c>
      <c r="J2279" s="32"/>
      <c r="K2279" s="10"/>
      <c r="L2279" s="32"/>
      <c r="M2279" s="10"/>
      <c r="N2279" s="33"/>
      <c r="O2279" s="11">
        <f>SUM(O2280)</f>
        <v>2</v>
      </c>
    </row>
    <row r="2280" spans="1:16" hidden="1" outlineLevel="2">
      <c r="E2280" s="20"/>
      <c r="F2280" s="21"/>
      <c r="G2280" s="65"/>
      <c r="H2280" s="23"/>
      <c r="I2280" s="24"/>
      <c r="J2280" s="32"/>
      <c r="K2280" s="64"/>
      <c r="L2280" s="32"/>
      <c r="M2280" s="10"/>
      <c r="N2280" s="33">
        <v>2</v>
      </c>
      <c r="O2280" s="58">
        <f>ROUND(PRODUCT(J2280:N2280),2)</f>
        <v>2</v>
      </c>
    </row>
    <row r="2281" spans="1:16" ht="30" hidden="1" outlineLevel="1">
      <c r="A2281" s="2">
        <v>6</v>
      </c>
      <c r="B2281" s="2">
        <v>11</v>
      </c>
      <c r="C2281" s="2">
        <f>1+C2279</f>
        <v>55</v>
      </c>
      <c r="E2281" s="20" t="str">
        <f>CONCATENATE(A2281,".",B2281,".",C2281)</f>
        <v>6.11.55</v>
      </c>
      <c r="F2281" s="21" t="s">
        <v>3793</v>
      </c>
      <c r="G2281" s="65">
        <v>100902</v>
      </c>
      <c r="H2281" s="23" t="s">
        <v>3794</v>
      </c>
      <c r="I2281" s="24" t="s">
        <v>36</v>
      </c>
      <c r="J2281" s="32"/>
      <c r="K2281" s="10"/>
      <c r="L2281" s="32"/>
      <c r="M2281" s="10"/>
      <c r="N2281" s="33"/>
      <c r="O2281" s="11">
        <f>SUM(O2282)</f>
        <v>216</v>
      </c>
    </row>
    <row r="2282" spans="1:16" hidden="1" outlineLevel="2">
      <c r="E2282" s="20"/>
      <c r="F2282" s="21"/>
      <c r="G2282" s="65"/>
      <c r="H2282" s="23"/>
      <c r="I2282" s="24"/>
      <c r="J2282" s="32"/>
      <c r="K2282" s="64"/>
      <c r="L2282" s="32"/>
      <c r="M2282" s="10"/>
      <c r="N2282" s="33">
        <v>216</v>
      </c>
      <c r="O2282" s="58">
        <f>ROUND(PRODUCT(J2282:N2282),2)</f>
        <v>216</v>
      </c>
    </row>
    <row r="2283" spans="1:16" ht="30" hidden="1" outlineLevel="1">
      <c r="A2283" s="2">
        <v>6</v>
      </c>
      <c r="B2283" s="2">
        <v>11</v>
      </c>
      <c r="C2283" s="2">
        <f>1+C2281</f>
        <v>56</v>
      </c>
      <c r="E2283" s="20" t="str">
        <f>CONCATENATE(A2283,".",B2283,".",C2283)</f>
        <v>6.11.56</v>
      </c>
      <c r="F2283" s="21" t="s">
        <v>3795</v>
      </c>
      <c r="G2283" s="65">
        <v>100903</v>
      </c>
      <c r="H2283" s="23" t="s">
        <v>3796</v>
      </c>
      <c r="I2283" s="24" t="s">
        <v>36</v>
      </c>
      <c r="J2283" s="32"/>
      <c r="K2283" s="10"/>
      <c r="L2283" s="32"/>
      <c r="M2283" s="10"/>
      <c r="N2283" s="33"/>
      <c r="O2283" s="11">
        <f>SUM(O2284)</f>
        <v>298</v>
      </c>
    </row>
    <row r="2284" spans="1:16" hidden="1" outlineLevel="2">
      <c r="E2284" s="20"/>
      <c r="F2284" s="21"/>
      <c r="G2284" s="22"/>
      <c r="H2284" s="23"/>
      <c r="I2284" s="24"/>
      <c r="J2284" s="32"/>
      <c r="K2284" s="64"/>
      <c r="L2284" s="32"/>
      <c r="M2284" s="10"/>
      <c r="N2284" s="33">
        <v>298</v>
      </c>
      <c r="O2284" s="58">
        <f>ROUND(PRODUCT(J2284:N2284),2)</f>
        <v>298</v>
      </c>
    </row>
    <row r="2285" spans="1:16" ht="45" hidden="1" outlineLevel="1">
      <c r="A2285" s="2">
        <v>6</v>
      </c>
      <c r="B2285" s="2">
        <v>11</v>
      </c>
      <c r="C2285" s="2">
        <f>1+C2283</f>
        <v>57</v>
      </c>
      <c r="E2285" s="20" t="str">
        <f>CONCATENATE(A2285,".",B2285,".",C2285)</f>
        <v>6.11.57</v>
      </c>
      <c r="F2285" s="21" t="s">
        <v>3797</v>
      </c>
      <c r="G2285" s="65">
        <v>89391</v>
      </c>
      <c r="H2285" s="23" t="s">
        <v>3798</v>
      </c>
      <c r="I2285" s="24" t="s">
        <v>36</v>
      </c>
      <c r="J2285" s="32"/>
      <c r="K2285" s="10"/>
      <c r="L2285" s="32"/>
      <c r="M2285" s="10"/>
      <c r="N2285" s="33"/>
      <c r="O2285" s="11">
        <f>SUM(O2286)</f>
        <v>3</v>
      </c>
      <c r="P2285" s="185" t="e">
        <f>VLOOKUP(G2285,[13]COMPOSIÇÕES!$A$3:$F$2740,6,FALSE())</f>
        <v>#N/A</v>
      </c>
    </row>
    <row r="2286" spans="1:16" hidden="1" outlineLevel="2">
      <c r="E2286" s="20"/>
      <c r="F2286" s="21"/>
      <c r="G2286" s="65"/>
      <c r="H2286" s="23"/>
      <c r="I2286" s="24"/>
      <c r="J2286" s="32"/>
      <c r="K2286" s="64"/>
      <c r="L2286" s="32"/>
      <c r="M2286" s="10"/>
      <c r="N2286" s="33">
        <v>3</v>
      </c>
      <c r="O2286" s="58">
        <f>ROUND(PRODUCT(J2286:N2286),2)</f>
        <v>3</v>
      </c>
    </row>
    <row r="2287" spans="1:16" hidden="1" outlineLevel="1">
      <c r="A2287" s="2">
        <v>6</v>
      </c>
      <c r="B2287" s="2">
        <v>11</v>
      </c>
      <c r="C2287" s="2">
        <f>1+C2285</f>
        <v>58</v>
      </c>
      <c r="E2287" s="20" t="str">
        <f>CONCATENATE(A2287,".",B2287,".",C2287)</f>
        <v>6.11.58</v>
      </c>
      <c r="F2287" s="21" t="s">
        <v>3799</v>
      </c>
      <c r="G2287" s="22" t="s">
        <v>3800</v>
      </c>
      <c r="H2287" s="23" t="s">
        <v>3801</v>
      </c>
      <c r="I2287" s="24" t="s">
        <v>36</v>
      </c>
      <c r="J2287" s="32"/>
      <c r="K2287" s="10"/>
      <c r="L2287" s="32"/>
      <c r="M2287" s="10"/>
      <c r="N2287" s="33"/>
      <c r="O2287" s="11">
        <f>SUM(O2288)</f>
        <v>5</v>
      </c>
      <c r="P2287" s="185" t="e">
        <f>VLOOKUP(G2287,[13]COMPOSIÇÕES!$A$3:$F$2740,6,FALSE())</f>
        <v>#N/A</v>
      </c>
    </row>
    <row r="2288" spans="1:16" hidden="1" outlineLevel="2">
      <c r="E2288" s="20"/>
      <c r="F2288" s="21"/>
      <c r="G2288" s="65"/>
      <c r="H2288" s="23"/>
      <c r="I2288" s="24"/>
      <c r="J2288" s="32"/>
      <c r="K2288" s="64"/>
      <c r="L2288" s="32"/>
      <c r="M2288" s="10"/>
      <c r="N2288" s="33">
        <v>5</v>
      </c>
      <c r="O2288" s="58">
        <f>ROUND(PRODUCT(J2288:N2288),2)</f>
        <v>5</v>
      </c>
    </row>
    <row r="2289" spans="1:16" hidden="1" outlineLevel="1">
      <c r="A2289" s="2">
        <v>6</v>
      </c>
      <c r="B2289" s="2">
        <v>11</v>
      </c>
      <c r="C2289" s="2">
        <f>1+C2287</f>
        <v>59</v>
      </c>
      <c r="E2289" s="20" t="str">
        <f>CONCATENATE(A2289,".",B2289,".",C2289)</f>
        <v>6.11.59</v>
      </c>
      <c r="F2289" s="21" t="s">
        <v>3802</v>
      </c>
      <c r="G2289" s="22" t="s">
        <v>3803</v>
      </c>
      <c r="H2289" s="23" t="s">
        <v>3804</v>
      </c>
      <c r="I2289" s="24" t="s">
        <v>36</v>
      </c>
      <c r="J2289" s="32"/>
      <c r="K2289" s="10"/>
      <c r="L2289" s="32"/>
      <c r="M2289" s="10"/>
      <c r="N2289" s="33"/>
      <c r="O2289" s="11">
        <f>SUM(O2290)</f>
        <v>2</v>
      </c>
      <c r="P2289" s="185" t="e">
        <f>VLOOKUP(G2289,[13]COMPOSIÇÕES!$A$3:$F$2740,6,FALSE())</f>
        <v>#N/A</v>
      </c>
    </row>
    <row r="2290" spans="1:16" hidden="1" outlineLevel="2">
      <c r="E2290" s="20"/>
      <c r="F2290" s="21"/>
      <c r="G2290" s="65"/>
      <c r="H2290" s="23"/>
      <c r="I2290" s="24"/>
      <c r="J2290" s="32"/>
      <c r="K2290" s="64"/>
      <c r="L2290" s="32"/>
      <c r="M2290" s="10"/>
      <c r="N2290" s="33">
        <v>2</v>
      </c>
      <c r="O2290" s="58">
        <f>ROUND(PRODUCT(J2290:N2290),2)</f>
        <v>2</v>
      </c>
    </row>
    <row r="2291" spans="1:16" hidden="1" outlineLevel="1">
      <c r="A2291" s="2">
        <v>6</v>
      </c>
      <c r="B2291" s="2">
        <v>11</v>
      </c>
      <c r="C2291" s="2">
        <f>1+C2289</f>
        <v>60</v>
      </c>
      <c r="E2291" s="20" t="str">
        <f>CONCATENATE(A2291,".",B2291,".",C2291)</f>
        <v>6.11.60</v>
      </c>
      <c r="F2291" s="21" t="s">
        <v>3805</v>
      </c>
      <c r="G2291" s="22" t="s">
        <v>3806</v>
      </c>
      <c r="H2291" s="23" t="s">
        <v>3807</v>
      </c>
      <c r="I2291" s="24" t="s">
        <v>36</v>
      </c>
      <c r="J2291" s="32"/>
      <c r="K2291" s="10"/>
      <c r="L2291" s="32"/>
      <c r="M2291" s="10"/>
      <c r="N2291" s="33"/>
      <c r="O2291" s="11">
        <f>SUM(O2292)</f>
        <v>3</v>
      </c>
      <c r="P2291" s="185" t="e">
        <f>VLOOKUP(G2291,[13]COMPOSIÇÕES!$A$3:$F$2740,6,FALSE())</f>
        <v>#N/A</v>
      </c>
    </row>
    <row r="2292" spans="1:16" hidden="1" outlineLevel="2">
      <c r="E2292" s="20"/>
      <c r="F2292" s="21"/>
      <c r="G2292" s="65"/>
      <c r="H2292" s="23"/>
      <c r="I2292" s="24"/>
      <c r="J2292" s="32"/>
      <c r="K2292" s="64"/>
      <c r="L2292" s="32"/>
      <c r="M2292" s="10"/>
      <c r="N2292" s="33">
        <v>3</v>
      </c>
      <c r="O2292" s="58">
        <f>ROUND(PRODUCT(J2292:N2292),2)</f>
        <v>3</v>
      </c>
    </row>
    <row r="2293" spans="1:16" hidden="1" outlineLevel="1">
      <c r="A2293" s="2">
        <v>6</v>
      </c>
      <c r="B2293" s="2">
        <v>11</v>
      </c>
      <c r="C2293" s="2">
        <f>1+C2291</f>
        <v>61</v>
      </c>
      <c r="E2293" s="20" t="str">
        <f>CONCATENATE(A2293,".",B2293,".",C2293)</f>
        <v>6.11.61</v>
      </c>
      <c r="F2293" s="21" t="s">
        <v>3808</v>
      </c>
      <c r="G2293" s="22" t="s">
        <v>3809</v>
      </c>
      <c r="H2293" s="23" t="s">
        <v>2624</v>
      </c>
      <c r="I2293" s="24" t="s">
        <v>36</v>
      </c>
      <c r="J2293" s="32"/>
      <c r="K2293" s="10"/>
      <c r="L2293" s="32"/>
      <c r="M2293" s="10"/>
      <c r="N2293" s="33"/>
      <c r="O2293" s="11">
        <f>SUM(O2294)</f>
        <v>3</v>
      </c>
      <c r="P2293" s="185" t="e">
        <f>VLOOKUP(G2293,[13]COMPOSIÇÕES!$A$3:$F$2740,6,FALSE())</f>
        <v>#N/A</v>
      </c>
    </row>
    <row r="2294" spans="1:16" hidden="1" outlineLevel="2">
      <c r="E2294" s="20"/>
      <c r="F2294" s="21"/>
      <c r="G2294" s="65"/>
      <c r="H2294" s="23"/>
      <c r="I2294" s="24"/>
      <c r="J2294" s="32"/>
      <c r="K2294" s="64"/>
      <c r="L2294" s="32"/>
      <c r="M2294" s="10"/>
      <c r="N2294" s="33">
        <v>3</v>
      </c>
      <c r="O2294" s="58">
        <f>ROUND(PRODUCT(J2294:N2294),2)</f>
        <v>3</v>
      </c>
    </row>
    <row r="2295" spans="1:16" hidden="1" outlineLevel="1">
      <c r="A2295" s="2">
        <v>6</v>
      </c>
      <c r="B2295" s="2">
        <v>11</v>
      </c>
      <c r="C2295" s="2">
        <f>1+C2293</f>
        <v>62</v>
      </c>
      <c r="E2295" s="20" t="str">
        <f>CONCATENATE(A2295,".",B2295,".",C2295)</f>
        <v>6.11.62</v>
      </c>
      <c r="F2295" s="21" t="s">
        <v>3810</v>
      </c>
      <c r="G2295" s="22" t="s">
        <v>3811</v>
      </c>
      <c r="H2295" s="23" t="s">
        <v>3812</v>
      </c>
      <c r="I2295" s="24" t="s">
        <v>36</v>
      </c>
      <c r="J2295" s="32"/>
      <c r="K2295" s="10"/>
      <c r="L2295" s="32"/>
      <c r="M2295" s="10"/>
      <c r="N2295" s="33"/>
      <c r="O2295" s="11">
        <f>SUM(O2296)</f>
        <v>2</v>
      </c>
      <c r="P2295" s="185" t="e">
        <f>VLOOKUP(G2295,[13]COMPOSIÇÕES!$A$3:$F$2740,6,FALSE())</f>
        <v>#N/A</v>
      </c>
    </row>
    <row r="2296" spans="1:16" hidden="1" outlineLevel="2">
      <c r="E2296" s="20"/>
      <c r="F2296" s="21"/>
      <c r="G2296" s="65"/>
      <c r="H2296" s="23"/>
      <c r="I2296" s="24"/>
      <c r="J2296" s="32"/>
      <c r="K2296" s="64"/>
      <c r="L2296" s="32"/>
      <c r="M2296" s="10"/>
      <c r="N2296" s="33">
        <v>2</v>
      </c>
      <c r="O2296" s="58">
        <f>ROUND(PRODUCT(J2296:N2296),2)</f>
        <v>2</v>
      </c>
    </row>
    <row r="2297" spans="1:16" hidden="1" outlineLevel="1">
      <c r="A2297" s="2">
        <v>6</v>
      </c>
      <c r="B2297" s="2">
        <v>11</v>
      </c>
      <c r="C2297" s="2">
        <f>1+C2295</f>
        <v>63</v>
      </c>
      <c r="E2297" s="20" t="str">
        <f>CONCATENATE(A2297,".",B2297,".",C2297)</f>
        <v>6.11.63</v>
      </c>
      <c r="F2297" s="21" t="s">
        <v>3813</v>
      </c>
      <c r="G2297" s="22" t="s">
        <v>3232</v>
      </c>
      <c r="H2297" s="23" t="s">
        <v>3233</v>
      </c>
      <c r="I2297" s="24" t="s">
        <v>36</v>
      </c>
      <c r="J2297" s="32"/>
      <c r="K2297" s="10"/>
      <c r="L2297" s="32"/>
      <c r="M2297" s="10"/>
      <c r="N2297" s="33"/>
      <c r="O2297" s="11">
        <f>SUM(O2298)</f>
        <v>7</v>
      </c>
      <c r="P2297" s="185" t="e">
        <f>VLOOKUP(G2297,[13]COMPOSIÇÕES!$A$3:$F$2740,6,FALSE())</f>
        <v>#N/A</v>
      </c>
    </row>
    <row r="2298" spans="1:16" hidden="1" outlineLevel="2">
      <c r="E2298" s="20"/>
      <c r="F2298" s="21"/>
      <c r="G2298" s="65"/>
      <c r="H2298" s="23"/>
      <c r="I2298" s="24"/>
      <c r="J2298" s="32"/>
      <c r="K2298" s="64"/>
      <c r="L2298" s="32"/>
      <c r="M2298" s="10"/>
      <c r="N2298" s="33">
        <f>2+5</f>
        <v>7</v>
      </c>
      <c r="O2298" s="58">
        <f>ROUND(PRODUCT(J2298:N2298),2)</f>
        <v>7</v>
      </c>
    </row>
    <row r="2299" spans="1:16" hidden="1" outlineLevel="1">
      <c r="A2299" s="2">
        <v>6</v>
      </c>
      <c r="B2299" s="2">
        <v>11</v>
      </c>
      <c r="C2299" s="2">
        <f>1+C2297</f>
        <v>64</v>
      </c>
      <c r="E2299" s="20" t="str">
        <f>CONCATENATE(A2299,".",B2299,".",C2299)</f>
        <v>6.11.64</v>
      </c>
      <c r="F2299" s="21" t="s">
        <v>3814</v>
      </c>
      <c r="G2299" s="22" t="s">
        <v>3815</v>
      </c>
      <c r="H2299" s="23" t="s">
        <v>3816</v>
      </c>
      <c r="I2299" s="24" t="s">
        <v>36</v>
      </c>
      <c r="J2299" s="32"/>
      <c r="K2299" s="10"/>
      <c r="L2299" s="32"/>
      <c r="M2299" s="10"/>
      <c r="N2299" s="33"/>
      <c r="O2299" s="11">
        <f>SUM(O2300)</f>
        <v>1</v>
      </c>
      <c r="P2299" s="185" t="e">
        <f>VLOOKUP(G2299,[13]COMPOSIÇÕES!$A$3:$F$2740,6,FALSE())</f>
        <v>#N/A</v>
      </c>
    </row>
    <row r="2300" spans="1:16" hidden="1" outlineLevel="2">
      <c r="E2300" s="20"/>
      <c r="F2300" s="21"/>
      <c r="G2300" s="65"/>
      <c r="H2300" s="23"/>
      <c r="I2300" s="24"/>
      <c r="J2300" s="32"/>
      <c r="K2300" s="64"/>
      <c r="L2300" s="32"/>
      <c r="M2300" s="10"/>
      <c r="N2300" s="33">
        <v>1</v>
      </c>
      <c r="O2300" s="58">
        <f>ROUND(PRODUCT(J2300:N2300),2)</f>
        <v>1</v>
      </c>
    </row>
    <row r="2301" spans="1:16" hidden="1" outlineLevel="1">
      <c r="A2301" s="2">
        <v>6</v>
      </c>
      <c r="B2301" s="2">
        <v>11</v>
      </c>
      <c r="C2301" s="2">
        <f>1+C2299</f>
        <v>65</v>
      </c>
      <c r="E2301" s="20" t="str">
        <f>CONCATENATE(A2301,".",B2301,".",C2301)</f>
        <v>6.11.65</v>
      </c>
      <c r="F2301" s="21" t="s">
        <v>3817</v>
      </c>
      <c r="G2301" s="22" t="s">
        <v>3818</v>
      </c>
      <c r="H2301" s="23" t="s">
        <v>3819</v>
      </c>
      <c r="I2301" s="24" t="s">
        <v>36</v>
      </c>
      <c r="J2301" s="32"/>
      <c r="K2301" s="10"/>
      <c r="L2301" s="32"/>
      <c r="M2301" s="10"/>
      <c r="N2301" s="33"/>
      <c r="O2301" s="11">
        <f>SUM(O2302)</f>
        <v>1</v>
      </c>
      <c r="P2301" s="185" t="e">
        <f>VLOOKUP(G2301,[13]COMPOSIÇÕES!$A$3:$F$2740,6,FALSE())</f>
        <v>#N/A</v>
      </c>
    </row>
    <row r="2302" spans="1:16" hidden="1" outlineLevel="2">
      <c r="E2302" s="20"/>
      <c r="F2302" s="21"/>
      <c r="G2302" s="65"/>
      <c r="H2302" s="23"/>
      <c r="I2302" s="24"/>
      <c r="J2302" s="32"/>
      <c r="K2302" s="64"/>
      <c r="L2302" s="32"/>
      <c r="M2302" s="10"/>
      <c r="N2302" s="33">
        <v>1</v>
      </c>
      <c r="O2302" s="58">
        <f>ROUND(PRODUCT(J2302:N2302),2)</f>
        <v>1</v>
      </c>
    </row>
    <row r="2303" spans="1:16" hidden="1" outlineLevel="1">
      <c r="A2303" s="2">
        <v>6</v>
      </c>
      <c r="B2303" s="2">
        <v>11</v>
      </c>
      <c r="C2303" s="2">
        <f>1+C2301</f>
        <v>66</v>
      </c>
      <c r="E2303" s="20" t="str">
        <f>CONCATENATE(A2303,".",B2303,".",C2303)</f>
        <v>6.11.66</v>
      </c>
      <c r="F2303" s="21" t="s">
        <v>3820</v>
      </c>
      <c r="G2303" s="22" t="s">
        <v>3821</v>
      </c>
      <c r="H2303" s="23" t="s">
        <v>3449</v>
      </c>
      <c r="I2303" s="24" t="s">
        <v>36</v>
      </c>
      <c r="J2303" s="32"/>
      <c r="K2303" s="10"/>
      <c r="L2303" s="32"/>
      <c r="M2303" s="10"/>
      <c r="N2303" s="33"/>
      <c r="O2303" s="11">
        <f>SUM(O2304)</f>
        <v>2</v>
      </c>
      <c r="P2303" s="185" t="e">
        <f>VLOOKUP(G2303,[13]COMPOSIÇÕES!$A$3:$F$2740,6,FALSE())</f>
        <v>#N/A</v>
      </c>
    </row>
    <row r="2304" spans="1:16" hidden="1" outlineLevel="2">
      <c r="E2304" s="20"/>
      <c r="F2304" s="21"/>
      <c r="G2304" s="65"/>
      <c r="H2304" s="23"/>
      <c r="I2304" s="24"/>
      <c r="J2304" s="32"/>
      <c r="K2304" s="64"/>
      <c r="L2304" s="32"/>
      <c r="M2304" s="10"/>
      <c r="N2304" s="33">
        <v>2</v>
      </c>
      <c r="O2304" s="58">
        <f>ROUND(PRODUCT(J2304:N2304),2)</f>
        <v>2</v>
      </c>
    </row>
    <row r="2305" spans="1:16" hidden="1" outlineLevel="1">
      <c r="A2305" s="2">
        <v>6</v>
      </c>
      <c r="B2305" s="2">
        <v>11</v>
      </c>
      <c r="C2305" s="2">
        <f>1+C2303</f>
        <v>67</v>
      </c>
      <c r="E2305" s="20" t="str">
        <f>CONCATENATE(A2305,".",B2305,".",C2305)</f>
        <v>6.11.67</v>
      </c>
      <c r="F2305" s="21" t="s">
        <v>3822</v>
      </c>
      <c r="G2305" s="22" t="s">
        <v>3823</v>
      </c>
      <c r="H2305" s="23" t="s">
        <v>3824</v>
      </c>
      <c r="I2305" s="24" t="s">
        <v>36</v>
      </c>
      <c r="J2305" s="32"/>
      <c r="K2305" s="10"/>
      <c r="L2305" s="32"/>
      <c r="M2305" s="10"/>
      <c r="N2305" s="33"/>
      <c r="O2305" s="11">
        <f>SUM(O2306)</f>
        <v>4</v>
      </c>
      <c r="P2305" s="185" t="e">
        <f>VLOOKUP(G2305,[13]COMPOSIÇÕES!$A$3:$F$2740,6,FALSE())</f>
        <v>#N/A</v>
      </c>
    </row>
    <row r="2306" spans="1:16" hidden="1" outlineLevel="2">
      <c r="E2306" s="20"/>
      <c r="F2306" s="21"/>
      <c r="G2306" s="65"/>
      <c r="H2306" s="23"/>
      <c r="I2306" s="24"/>
      <c r="J2306" s="32"/>
      <c r="K2306" s="64"/>
      <c r="L2306" s="32"/>
      <c r="M2306" s="10"/>
      <c r="N2306" s="33">
        <v>4</v>
      </c>
      <c r="O2306" s="58">
        <f>ROUND(PRODUCT(J2306:N2306),2)</f>
        <v>4</v>
      </c>
    </row>
    <row r="2307" spans="1:16" hidden="1" outlineLevel="1">
      <c r="A2307" s="2">
        <v>6</v>
      </c>
      <c r="B2307" s="2">
        <v>11</v>
      </c>
      <c r="C2307" s="2">
        <f>1+C2305</f>
        <v>68</v>
      </c>
      <c r="E2307" s="20" t="str">
        <f>CONCATENATE(A2307,".",B2307,".",C2307)</f>
        <v>6.11.68</v>
      </c>
      <c r="F2307" s="21" t="s">
        <v>3825</v>
      </c>
      <c r="G2307" s="22" t="s">
        <v>3826</v>
      </c>
      <c r="H2307" s="23" t="s">
        <v>3827</v>
      </c>
      <c r="I2307" s="24" t="s">
        <v>36</v>
      </c>
      <c r="J2307" s="32"/>
      <c r="K2307" s="10"/>
      <c r="L2307" s="32"/>
      <c r="M2307" s="10"/>
      <c r="N2307" s="33"/>
      <c r="O2307" s="11">
        <f>SUM(O2308)</f>
        <v>2</v>
      </c>
      <c r="P2307" s="185" t="e">
        <f>VLOOKUP(G2307,[13]COMPOSIÇÕES!$A$3:$F$2740,6,FALSE())</f>
        <v>#N/A</v>
      </c>
    </row>
    <row r="2308" spans="1:16" hidden="1" outlineLevel="2">
      <c r="E2308" s="20"/>
      <c r="F2308" s="21"/>
      <c r="G2308" s="65"/>
      <c r="H2308" s="23"/>
      <c r="I2308" s="24"/>
      <c r="J2308" s="32"/>
      <c r="K2308" s="64"/>
      <c r="L2308" s="32"/>
      <c r="M2308" s="10"/>
      <c r="N2308" s="33">
        <v>2</v>
      </c>
      <c r="O2308" s="58">
        <f>ROUND(PRODUCT(J2308:N2308),2)</f>
        <v>2</v>
      </c>
    </row>
    <row r="2309" spans="1:16" hidden="1" outlineLevel="1">
      <c r="A2309" s="2">
        <v>6</v>
      </c>
      <c r="B2309" s="2">
        <v>11</v>
      </c>
      <c r="C2309" s="2">
        <f>1+C2307</f>
        <v>69</v>
      </c>
      <c r="E2309" s="20" t="str">
        <f>CONCATENATE(A2309,".",B2309,".",C2309)</f>
        <v>6.11.69</v>
      </c>
      <c r="F2309" s="21" t="s">
        <v>3828</v>
      </c>
      <c r="G2309" s="22" t="s">
        <v>3829</v>
      </c>
      <c r="H2309" s="23" t="s">
        <v>3830</v>
      </c>
      <c r="I2309" s="24" t="s">
        <v>36</v>
      </c>
      <c r="J2309" s="32"/>
      <c r="K2309" s="10"/>
      <c r="L2309" s="32"/>
      <c r="M2309" s="10"/>
      <c r="N2309" s="33"/>
      <c r="O2309" s="11">
        <f>SUM(O2310)</f>
        <v>1</v>
      </c>
      <c r="P2309" s="185" t="e">
        <f>VLOOKUP(G2309,[13]COMPOSIÇÕES!$A$3:$F$2740,6,FALSE())</f>
        <v>#N/A</v>
      </c>
    </row>
    <row r="2310" spans="1:16" hidden="1" outlineLevel="2">
      <c r="E2310" s="20"/>
      <c r="F2310" s="21"/>
      <c r="G2310" s="65"/>
      <c r="H2310" s="23"/>
      <c r="I2310" s="24"/>
      <c r="J2310" s="32"/>
      <c r="K2310" s="64"/>
      <c r="L2310" s="32"/>
      <c r="M2310" s="10"/>
      <c r="N2310" s="33">
        <v>1</v>
      </c>
      <c r="O2310" s="58">
        <f>ROUND(PRODUCT(J2310:N2310),2)</f>
        <v>1</v>
      </c>
    </row>
    <row r="2311" spans="1:16" ht="30" hidden="1" outlineLevel="1">
      <c r="A2311" s="2">
        <v>6</v>
      </c>
      <c r="B2311" s="2">
        <v>11</v>
      </c>
      <c r="C2311" s="2">
        <f>1+C2309</f>
        <v>70</v>
      </c>
      <c r="E2311" s="20" t="str">
        <f>CONCATENATE(A2311,".",B2311,".",C2311)</f>
        <v>6.11.70</v>
      </c>
      <c r="F2311" s="21" t="s">
        <v>3831</v>
      </c>
      <c r="G2311" s="22" t="s">
        <v>3250</v>
      </c>
      <c r="H2311" s="23" t="s">
        <v>3251</v>
      </c>
      <c r="I2311" s="24" t="s">
        <v>36</v>
      </c>
      <c r="J2311" s="32"/>
      <c r="K2311" s="10"/>
      <c r="L2311" s="32"/>
      <c r="M2311" s="10"/>
      <c r="N2311" s="33"/>
      <c r="O2311" s="11">
        <f>SUM(O2312)</f>
        <v>28</v>
      </c>
      <c r="P2311" s="185" t="e">
        <f>VLOOKUP(G2311,[13]COMPOSIÇÕES!$A$3:$F$2740,6,FALSE())</f>
        <v>#N/A</v>
      </c>
    </row>
    <row r="2312" spans="1:16" hidden="1" outlineLevel="2">
      <c r="E2312" s="20"/>
      <c r="F2312" s="21"/>
      <c r="G2312" s="65"/>
      <c r="H2312" s="23"/>
      <c r="I2312" s="24"/>
      <c r="J2312" s="32"/>
      <c r="K2312" s="64"/>
      <c r="L2312" s="32"/>
      <c r="M2312" s="10"/>
      <c r="N2312" s="33">
        <f>16+12</f>
        <v>28</v>
      </c>
      <c r="O2312" s="58">
        <f>ROUND(PRODUCT(J2312:N2312),2)</f>
        <v>28</v>
      </c>
    </row>
    <row r="2313" spans="1:16" hidden="1" outlineLevel="1">
      <c r="A2313" s="2">
        <v>6</v>
      </c>
      <c r="B2313" s="2">
        <v>11</v>
      </c>
      <c r="C2313" s="2">
        <f>1+C2311</f>
        <v>71</v>
      </c>
      <c r="E2313" s="20" t="str">
        <f>CONCATENATE(A2313,".",B2313,".",C2313)</f>
        <v>6.11.71</v>
      </c>
      <c r="F2313" s="21" t="s">
        <v>3832</v>
      </c>
      <c r="G2313" s="22" t="s">
        <v>3833</v>
      </c>
      <c r="H2313" s="23" t="s">
        <v>3834</v>
      </c>
      <c r="I2313" s="24" t="s">
        <v>36</v>
      </c>
      <c r="J2313" s="32"/>
      <c r="K2313" s="10"/>
      <c r="L2313" s="32"/>
      <c r="M2313" s="10"/>
      <c r="N2313" s="33"/>
      <c r="O2313" s="11">
        <f>SUM(O2314)</f>
        <v>8</v>
      </c>
      <c r="P2313" s="185" t="e">
        <f>VLOOKUP(G2313,[13]COMPOSIÇÕES!$A$3:$F$2740,6,FALSE())</f>
        <v>#N/A</v>
      </c>
    </row>
    <row r="2314" spans="1:16" hidden="1" outlineLevel="2">
      <c r="E2314" s="20"/>
      <c r="F2314" s="21"/>
      <c r="G2314" s="65"/>
      <c r="H2314" s="23"/>
      <c r="I2314" s="24"/>
      <c r="J2314" s="32"/>
      <c r="K2314" s="64"/>
      <c r="L2314" s="32"/>
      <c r="M2314" s="10"/>
      <c r="N2314" s="33">
        <v>8</v>
      </c>
      <c r="O2314" s="58">
        <f>ROUND(PRODUCT(J2314:N2314),2)</f>
        <v>8</v>
      </c>
    </row>
    <row r="2315" spans="1:16" hidden="1" outlineLevel="1">
      <c r="A2315" s="2">
        <v>6</v>
      </c>
      <c r="B2315" s="2">
        <v>11</v>
      </c>
      <c r="C2315" s="2">
        <f>1+C2313</f>
        <v>72</v>
      </c>
      <c r="E2315" s="20" t="str">
        <f>CONCATENATE(A2315,".",B2315,".",C2315)</f>
        <v>6.11.72</v>
      </c>
      <c r="F2315" s="21" t="s">
        <v>3835</v>
      </c>
      <c r="G2315" s="22" t="s">
        <v>3836</v>
      </c>
      <c r="H2315" s="23" t="s">
        <v>3837</v>
      </c>
      <c r="I2315" s="24" t="s">
        <v>36</v>
      </c>
      <c r="J2315" s="32"/>
      <c r="K2315" s="10"/>
      <c r="L2315" s="32"/>
      <c r="M2315" s="10"/>
      <c r="N2315" s="33"/>
      <c r="O2315" s="11">
        <f>SUM(O2316)</f>
        <v>1</v>
      </c>
      <c r="P2315" s="185" t="e">
        <f>VLOOKUP(G2315,[13]COMPOSIÇÕES!$A$3:$F$2740,6,FALSE())</f>
        <v>#N/A</v>
      </c>
    </row>
    <row r="2316" spans="1:16" hidden="1" outlineLevel="2">
      <c r="E2316" s="20"/>
      <c r="F2316" s="21"/>
      <c r="G2316" s="65"/>
      <c r="H2316" s="23"/>
      <c r="I2316" s="24"/>
      <c r="J2316" s="32"/>
      <c r="K2316" s="64"/>
      <c r="L2316" s="32"/>
      <c r="M2316" s="10"/>
      <c r="N2316" s="33">
        <v>1</v>
      </c>
      <c r="O2316" s="58">
        <f>ROUND(PRODUCT(J2316:N2316),2)</f>
        <v>1</v>
      </c>
    </row>
    <row r="2317" spans="1:16" ht="30" hidden="1" outlineLevel="1">
      <c r="A2317" s="2">
        <v>6</v>
      </c>
      <c r="B2317" s="2">
        <v>11</v>
      </c>
      <c r="C2317" s="2">
        <f>1+C2315</f>
        <v>73</v>
      </c>
      <c r="E2317" s="20" t="str">
        <f>CONCATENATE(A2317,".",B2317,".",C2317)</f>
        <v>6.11.73</v>
      </c>
      <c r="F2317" s="21" t="s">
        <v>3838</v>
      </c>
      <c r="G2317" s="22" t="s">
        <v>3839</v>
      </c>
      <c r="H2317" s="23" t="s">
        <v>3840</v>
      </c>
      <c r="I2317" s="24" t="s">
        <v>36</v>
      </c>
      <c r="J2317" s="32"/>
      <c r="K2317" s="10"/>
      <c r="L2317" s="32"/>
      <c r="M2317" s="10"/>
      <c r="N2317" s="33"/>
      <c r="O2317" s="11">
        <f>SUM(O2318)</f>
        <v>1</v>
      </c>
      <c r="P2317" s="185" t="e">
        <f>VLOOKUP(G2317,[13]COMPOSIÇÕES!$A$3:$F$2740,6,FALSE())</f>
        <v>#N/A</v>
      </c>
    </row>
    <row r="2318" spans="1:16" hidden="1" outlineLevel="2">
      <c r="E2318" s="20"/>
      <c r="F2318" s="21"/>
      <c r="G2318" s="65"/>
      <c r="H2318" s="23"/>
      <c r="I2318" s="24"/>
      <c r="J2318" s="32"/>
      <c r="K2318" s="64"/>
      <c r="L2318" s="32"/>
      <c r="M2318" s="10"/>
      <c r="N2318" s="33">
        <v>1</v>
      </c>
      <c r="O2318" s="58">
        <f>ROUND(PRODUCT(J2318:N2318),2)</f>
        <v>1</v>
      </c>
    </row>
    <row r="2319" spans="1:16" hidden="1" outlineLevel="1">
      <c r="A2319" s="2">
        <v>6</v>
      </c>
      <c r="B2319" s="2">
        <v>11</v>
      </c>
      <c r="C2319" s="2">
        <f>1+C2317</f>
        <v>74</v>
      </c>
      <c r="E2319" s="20" t="str">
        <f>CONCATENATE(A2319,".",B2319,".",C2319)</f>
        <v>6.11.74</v>
      </c>
      <c r="F2319" s="21" t="s">
        <v>3841</v>
      </c>
      <c r="G2319" s="22" t="s">
        <v>3842</v>
      </c>
      <c r="H2319" s="23" t="s">
        <v>3843</v>
      </c>
      <c r="I2319" s="24" t="s">
        <v>36</v>
      </c>
      <c r="J2319" s="32"/>
      <c r="K2319" s="10"/>
      <c r="L2319" s="32"/>
      <c r="M2319" s="10"/>
      <c r="N2319" s="33"/>
      <c r="O2319" s="11">
        <f>SUM(O2320)</f>
        <v>2</v>
      </c>
      <c r="P2319" s="185" t="e">
        <f>VLOOKUP(G2319,[13]COMPOSIÇÕES!$A$3:$F$2740,6,FALSE())</f>
        <v>#N/A</v>
      </c>
    </row>
    <row r="2320" spans="1:16" hidden="1" outlineLevel="2">
      <c r="E2320" s="20"/>
      <c r="F2320" s="21"/>
      <c r="G2320" s="65"/>
      <c r="H2320" s="23"/>
      <c r="I2320" s="24"/>
      <c r="J2320" s="32"/>
      <c r="K2320" s="64"/>
      <c r="L2320" s="32"/>
      <c r="M2320" s="10"/>
      <c r="N2320" s="33">
        <v>2</v>
      </c>
      <c r="O2320" s="58">
        <f>ROUND(PRODUCT(J2320:N2320),2)</f>
        <v>2</v>
      </c>
    </row>
    <row r="2321" spans="1:16" hidden="1" outlineLevel="1">
      <c r="A2321" s="2">
        <v>6</v>
      </c>
      <c r="B2321" s="2">
        <v>11</v>
      </c>
      <c r="C2321" s="2">
        <f>1+C2319</f>
        <v>75</v>
      </c>
      <c r="E2321" s="20" t="str">
        <f>CONCATENATE(A2321,".",B2321,".",C2321)</f>
        <v>6.11.75</v>
      </c>
      <c r="F2321" s="21" t="s">
        <v>3844</v>
      </c>
      <c r="G2321" s="22" t="s">
        <v>3845</v>
      </c>
      <c r="H2321" s="23" t="s">
        <v>3846</v>
      </c>
      <c r="I2321" s="24" t="s">
        <v>36</v>
      </c>
      <c r="J2321" s="32"/>
      <c r="K2321" s="10"/>
      <c r="L2321" s="32"/>
      <c r="M2321" s="10"/>
      <c r="N2321" s="33"/>
      <c r="O2321" s="11">
        <f>SUM(O2322)</f>
        <v>1</v>
      </c>
      <c r="P2321" s="185" t="e">
        <f>VLOOKUP(G2321,[13]COMPOSIÇÕES!$A$3:$F$2740,6,FALSE())</f>
        <v>#N/A</v>
      </c>
    </row>
    <row r="2322" spans="1:16" hidden="1" outlineLevel="2">
      <c r="E2322" s="20"/>
      <c r="F2322" s="21"/>
      <c r="G2322" s="65"/>
      <c r="H2322" s="23"/>
      <c r="I2322" s="24"/>
      <c r="J2322" s="32"/>
      <c r="K2322" s="64"/>
      <c r="L2322" s="32"/>
      <c r="M2322" s="10"/>
      <c r="N2322" s="33">
        <v>1</v>
      </c>
      <c r="O2322" s="58">
        <f>ROUND(PRODUCT(J2322:N2322),2)</f>
        <v>1</v>
      </c>
    </row>
    <row r="2323" spans="1:16" hidden="1" outlineLevel="1">
      <c r="A2323" s="2">
        <v>6</v>
      </c>
      <c r="B2323" s="2">
        <v>11</v>
      </c>
      <c r="C2323" s="2">
        <f>1+C2321</f>
        <v>76</v>
      </c>
      <c r="E2323" s="20" t="str">
        <f>CONCATENATE(A2323,".",B2323,".",C2323)</f>
        <v>6.11.76</v>
      </c>
      <c r="F2323" s="21" t="s">
        <v>3847</v>
      </c>
      <c r="G2323" s="22" t="s">
        <v>3848</v>
      </c>
      <c r="H2323" s="23" t="s">
        <v>2374</v>
      </c>
      <c r="I2323" s="24" t="s">
        <v>36</v>
      </c>
      <c r="J2323" s="32"/>
      <c r="K2323" s="10"/>
      <c r="L2323" s="32"/>
      <c r="M2323" s="10"/>
      <c r="N2323" s="33"/>
      <c r="O2323" s="11">
        <f>SUM(O2324)</f>
        <v>1</v>
      </c>
      <c r="P2323" s="185" t="e">
        <f>VLOOKUP(G2323,[13]COMPOSIÇÕES!$A$3:$F$2740,6,FALSE())</f>
        <v>#N/A</v>
      </c>
    </row>
    <row r="2324" spans="1:16" hidden="1" outlineLevel="2">
      <c r="E2324" s="20"/>
      <c r="F2324" s="21"/>
      <c r="G2324" s="65"/>
      <c r="H2324" s="23"/>
      <c r="I2324" s="24"/>
      <c r="J2324" s="32"/>
      <c r="K2324" s="64"/>
      <c r="L2324" s="32"/>
      <c r="M2324" s="10"/>
      <c r="N2324" s="33">
        <v>1</v>
      </c>
      <c r="O2324" s="58">
        <f>ROUND(PRODUCT(J2324:N2324),2)</f>
        <v>1</v>
      </c>
    </row>
    <row r="2325" spans="1:16" ht="33.75" hidden="1" customHeight="1" outlineLevel="1">
      <c r="A2325" s="2">
        <v>6</v>
      </c>
      <c r="B2325" s="2">
        <v>11</v>
      </c>
      <c r="C2325" s="2">
        <f>1+C2323</f>
        <v>77</v>
      </c>
      <c r="E2325" s="20" t="str">
        <f>CONCATENATE(A2325,".",B2325,".",C2325)</f>
        <v>6.11.77</v>
      </c>
      <c r="F2325" s="21" t="s">
        <v>3849</v>
      </c>
      <c r="G2325" s="22" t="s">
        <v>3850</v>
      </c>
      <c r="H2325" s="23" t="s">
        <v>3851</v>
      </c>
      <c r="I2325" s="24" t="s">
        <v>36</v>
      </c>
      <c r="J2325" s="32"/>
      <c r="K2325" s="10"/>
      <c r="L2325" s="32"/>
      <c r="M2325" s="10"/>
      <c r="N2325" s="33"/>
      <c r="O2325" s="11">
        <f>SUM(O2326)</f>
        <v>1</v>
      </c>
      <c r="P2325" s="185" t="e">
        <f>VLOOKUP(G2325,[13]COMPOSIÇÕES!$A$3:$F$2740,6,FALSE())</f>
        <v>#N/A</v>
      </c>
    </row>
    <row r="2326" spans="1:16" hidden="1" outlineLevel="2">
      <c r="E2326" s="20"/>
      <c r="F2326" s="21"/>
      <c r="G2326" s="65"/>
      <c r="H2326" s="23"/>
      <c r="I2326" s="24"/>
      <c r="J2326" s="32"/>
      <c r="K2326" s="64"/>
      <c r="L2326" s="32"/>
      <c r="M2326" s="10"/>
      <c r="N2326" s="33">
        <v>1</v>
      </c>
      <c r="O2326" s="58">
        <f>ROUND(PRODUCT(J2326:N2326),2)</f>
        <v>1</v>
      </c>
    </row>
    <row r="2327" spans="1:16" ht="30" hidden="1" outlineLevel="1">
      <c r="A2327" s="2">
        <v>6</v>
      </c>
      <c r="B2327" s="2">
        <v>11</v>
      </c>
      <c r="C2327" s="2">
        <f>1+C2325</f>
        <v>78</v>
      </c>
      <c r="E2327" s="20" t="str">
        <f>CONCATENATE(A2327,".",B2327,".",C2327)</f>
        <v>6.11.78</v>
      </c>
      <c r="F2327" s="21" t="s">
        <v>3852</v>
      </c>
      <c r="G2327" s="22" t="s">
        <v>3853</v>
      </c>
      <c r="H2327" s="23" t="s">
        <v>3854</v>
      </c>
      <c r="I2327" s="24" t="s">
        <v>36</v>
      </c>
      <c r="J2327" s="32"/>
      <c r="K2327" s="10"/>
      <c r="L2327" s="32"/>
      <c r="M2327" s="10"/>
      <c r="N2327" s="33"/>
      <c r="O2327" s="11">
        <f>SUM(O2328)</f>
        <v>9</v>
      </c>
      <c r="P2327" s="185" t="e">
        <f>VLOOKUP(G2327,[13]COMPOSIÇÕES!$A$3:$F$2740,6,FALSE())</f>
        <v>#N/A</v>
      </c>
    </row>
    <row r="2328" spans="1:16" hidden="1" outlineLevel="2">
      <c r="E2328" s="20"/>
      <c r="F2328" s="21"/>
      <c r="G2328" s="65"/>
      <c r="H2328" s="23"/>
      <c r="I2328" s="24"/>
      <c r="J2328" s="32"/>
      <c r="K2328" s="64"/>
      <c r="L2328" s="32"/>
      <c r="M2328" s="10"/>
      <c r="N2328" s="33">
        <f>5+4</f>
        <v>9</v>
      </c>
      <c r="O2328" s="58">
        <f>ROUND(PRODUCT(J2328:N2328),2)</f>
        <v>9</v>
      </c>
    </row>
    <row r="2329" spans="1:16" hidden="1" outlineLevel="1">
      <c r="A2329" s="2">
        <v>6</v>
      </c>
      <c r="B2329" s="2">
        <v>11</v>
      </c>
      <c r="C2329" s="2">
        <f>1+C2327</f>
        <v>79</v>
      </c>
      <c r="E2329" s="20" t="str">
        <f>CONCATENATE(A2329,".",B2329,".",C2329)</f>
        <v>6.11.79</v>
      </c>
      <c r="F2329" s="21" t="s">
        <v>3855</v>
      </c>
      <c r="G2329" s="22" t="s">
        <v>3856</v>
      </c>
      <c r="H2329" s="23" t="s">
        <v>3857</v>
      </c>
      <c r="I2329" s="24" t="s">
        <v>36</v>
      </c>
      <c r="J2329" s="32"/>
      <c r="K2329" s="10"/>
      <c r="L2329" s="32"/>
      <c r="M2329" s="10"/>
      <c r="N2329" s="33"/>
      <c r="O2329" s="11">
        <f>SUM(O2330)</f>
        <v>11</v>
      </c>
      <c r="P2329" s="185" t="e">
        <f>VLOOKUP(G2329,[13]COMPOSIÇÕES!$A$3:$F$2740,6,FALSE())</f>
        <v>#N/A</v>
      </c>
    </row>
    <row r="2330" spans="1:16" hidden="1" outlineLevel="2">
      <c r="E2330" s="20"/>
      <c r="F2330" s="21"/>
      <c r="G2330" s="65"/>
      <c r="H2330" s="23"/>
      <c r="I2330" s="24"/>
      <c r="J2330" s="32"/>
      <c r="K2330" s="64"/>
      <c r="L2330" s="32"/>
      <c r="M2330" s="10"/>
      <c r="N2330" s="33">
        <v>11</v>
      </c>
      <c r="O2330" s="58">
        <f>ROUND(PRODUCT(J2330:N2330),2)</f>
        <v>11</v>
      </c>
    </row>
    <row r="2331" spans="1:16" ht="30" hidden="1" outlineLevel="1">
      <c r="A2331" s="2">
        <v>6</v>
      </c>
      <c r="B2331" s="2">
        <v>11</v>
      </c>
      <c r="C2331" s="2">
        <f>1+C2329</f>
        <v>80</v>
      </c>
      <c r="E2331" s="20" t="str">
        <f>CONCATENATE(A2331,".",B2331,".",C2331)</f>
        <v>6.11.80</v>
      </c>
      <c r="F2331" s="21" t="s">
        <v>3858</v>
      </c>
      <c r="G2331" s="22" t="s">
        <v>3859</v>
      </c>
      <c r="H2331" s="23" t="s">
        <v>3860</v>
      </c>
      <c r="I2331" s="24" t="s">
        <v>36</v>
      </c>
      <c r="J2331" s="32"/>
      <c r="K2331" s="10"/>
      <c r="L2331" s="32"/>
      <c r="M2331" s="10"/>
      <c r="N2331" s="33"/>
      <c r="O2331" s="11">
        <f>SUM(O2332)</f>
        <v>54</v>
      </c>
      <c r="P2331" s="185" t="e">
        <f>VLOOKUP(G2331,[13]COMPOSIÇÕES!$A$3:$F$2740,6,FALSE())</f>
        <v>#N/A</v>
      </c>
    </row>
    <row r="2332" spans="1:16" hidden="1" outlineLevel="2">
      <c r="E2332" s="20"/>
      <c r="F2332" s="21"/>
      <c r="G2332" s="65"/>
      <c r="H2332" s="23"/>
      <c r="I2332" s="24"/>
      <c r="J2332" s="32"/>
      <c r="K2332" s="64"/>
      <c r="L2332" s="32"/>
      <c r="M2332" s="10"/>
      <c r="N2332" s="33">
        <v>54</v>
      </c>
      <c r="O2332" s="58">
        <f>ROUND(PRODUCT(J2332:N2332),2)</f>
        <v>54</v>
      </c>
    </row>
    <row r="2333" spans="1:16" hidden="1" outlineLevel="1">
      <c r="A2333" s="2">
        <v>6</v>
      </c>
      <c r="B2333" s="2">
        <v>11</v>
      </c>
      <c r="C2333" s="2">
        <f>1+C2331</f>
        <v>81</v>
      </c>
      <c r="E2333" s="20" t="str">
        <f>CONCATENATE(A2333,".",B2333,".",C2333)</f>
        <v>6.11.81</v>
      </c>
      <c r="F2333" s="21" t="s">
        <v>3861</v>
      </c>
      <c r="G2333" s="22" t="s">
        <v>3256</v>
      </c>
      <c r="H2333" s="23" t="s">
        <v>3257</v>
      </c>
      <c r="I2333" s="24" t="s">
        <v>36</v>
      </c>
      <c r="J2333" s="32"/>
      <c r="K2333" s="10"/>
      <c r="L2333" s="32"/>
      <c r="M2333" s="10"/>
      <c r="N2333" s="33"/>
      <c r="O2333" s="11">
        <f>SUM(O2334)</f>
        <v>50</v>
      </c>
      <c r="P2333" s="185" t="e">
        <f>VLOOKUP(G2333,[13]COMPOSIÇÕES!$A$3:$F$2740,6,FALSE())</f>
        <v>#N/A</v>
      </c>
    </row>
    <row r="2334" spans="1:16" hidden="1" outlineLevel="2">
      <c r="E2334" s="20"/>
      <c r="F2334" s="21"/>
      <c r="G2334" s="65"/>
      <c r="H2334" s="23"/>
      <c r="I2334" s="24"/>
      <c r="J2334" s="32"/>
      <c r="K2334" s="64"/>
      <c r="L2334" s="32"/>
      <c r="M2334" s="10"/>
      <c r="N2334" s="33">
        <v>50</v>
      </c>
      <c r="O2334" s="58">
        <f>ROUND(PRODUCT(J2334:N2334),2)</f>
        <v>50</v>
      </c>
    </row>
    <row r="2335" spans="1:16" ht="90" hidden="1" outlineLevel="1">
      <c r="A2335" s="2">
        <v>6</v>
      </c>
      <c r="B2335" s="2">
        <v>11</v>
      </c>
      <c r="C2335" s="2">
        <f>1+C2333</f>
        <v>82</v>
      </c>
      <c r="E2335" s="20" t="str">
        <f>CONCATENATE(A2335,".",B2335,".",C2335)</f>
        <v>6.11.82</v>
      </c>
      <c r="F2335" s="21" t="s">
        <v>3862</v>
      </c>
      <c r="G2335" s="22" t="s">
        <v>3863</v>
      </c>
      <c r="H2335" s="23" t="s">
        <v>3864</v>
      </c>
      <c r="I2335" s="24" t="s">
        <v>36</v>
      </c>
      <c r="J2335" s="32"/>
      <c r="K2335" s="10"/>
      <c r="L2335" s="32"/>
      <c r="M2335" s="10"/>
      <c r="N2335" s="33"/>
      <c r="O2335" s="11">
        <f>SUM(O2336)</f>
        <v>99</v>
      </c>
      <c r="P2335" s="185" t="e">
        <f>VLOOKUP(G2335,[13]COMPOSIÇÕES!$A$3:$F$2740,6,FALSE())</f>
        <v>#N/A</v>
      </c>
    </row>
    <row r="2336" spans="1:16" hidden="1" outlineLevel="2">
      <c r="E2336" s="20"/>
      <c r="F2336" s="21"/>
      <c r="G2336" s="65"/>
      <c r="H2336" s="23"/>
      <c r="I2336" s="24"/>
      <c r="J2336" s="32"/>
      <c r="K2336" s="64"/>
      <c r="L2336" s="32"/>
      <c r="M2336" s="10"/>
      <c r="N2336" s="33">
        <v>99</v>
      </c>
      <c r="O2336" s="58">
        <f>ROUND(PRODUCT(J2336:N2336),2)</f>
        <v>99</v>
      </c>
    </row>
    <row r="2337" spans="1:17" ht="30" hidden="1" outlineLevel="1">
      <c r="A2337" s="2">
        <v>6</v>
      </c>
      <c r="B2337" s="2">
        <v>11</v>
      </c>
      <c r="C2337" s="2">
        <f>1+C2335</f>
        <v>83</v>
      </c>
      <c r="E2337" s="20" t="str">
        <f>CONCATENATE(A2337,".",B2337,".",C2337)</f>
        <v>6.11.83</v>
      </c>
      <c r="F2337" s="21" t="s">
        <v>3865</v>
      </c>
      <c r="G2337" s="22" t="s">
        <v>3866</v>
      </c>
      <c r="H2337" s="23" t="s">
        <v>3867</v>
      </c>
      <c r="I2337" s="24" t="s">
        <v>36</v>
      </c>
      <c r="J2337" s="32"/>
      <c r="K2337" s="10"/>
      <c r="L2337" s="32"/>
      <c r="M2337" s="10"/>
      <c r="N2337" s="33"/>
      <c r="O2337" s="11">
        <f>SUM(O2338)</f>
        <v>1</v>
      </c>
    </row>
    <row r="2338" spans="1:17" hidden="1" outlineLevel="2">
      <c r="E2338" s="20"/>
      <c r="F2338" s="21"/>
      <c r="G2338" s="65"/>
      <c r="H2338" s="23"/>
      <c r="I2338" s="24"/>
      <c r="J2338" s="32"/>
      <c r="K2338" s="64"/>
      <c r="L2338" s="32"/>
      <c r="M2338" s="10"/>
      <c r="N2338" s="33">
        <v>1</v>
      </c>
      <c r="O2338" s="58">
        <f>ROUND(PRODUCT(J2338:N2338),2)</f>
        <v>1</v>
      </c>
    </row>
    <row r="2339" spans="1:17" ht="30" hidden="1" outlineLevel="1">
      <c r="A2339" s="2">
        <v>6</v>
      </c>
      <c r="B2339" s="2">
        <v>11</v>
      </c>
      <c r="C2339" s="2">
        <f>1+C2337</f>
        <v>84</v>
      </c>
      <c r="E2339" s="20" t="str">
        <f>CONCATENATE(A2339,".",B2339,".",C2339)</f>
        <v>6.11.84</v>
      </c>
      <c r="F2339" s="21" t="s">
        <v>3868</v>
      </c>
      <c r="G2339" s="22" t="s">
        <v>3869</v>
      </c>
      <c r="H2339" s="23" t="s">
        <v>3870</v>
      </c>
      <c r="I2339" s="24" t="s">
        <v>36</v>
      </c>
      <c r="J2339" s="32"/>
      <c r="K2339" s="10"/>
      <c r="L2339" s="32"/>
      <c r="M2339" s="10"/>
      <c r="N2339" s="33"/>
      <c r="O2339" s="11">
        <f>SUM(O2340)</f>
        <v>1</v>
      </c>
    </row>
    <row r="2340" spans="1:17" hidden="1" outlineLevel="2">
      <c r="E2340" s="20"/>
      <c r="F2340" s="21"/>
      <c r="G2340" s="65"/>
      <c r="H2340" s="23"/>
      <c r="I2340" s="24"/>
      <c r="J2340" s="32"/>
      <c r="K2340" s="64"/>
      <c r="L2340" s="32"/>
      <c r="M2340" s="10"/>
      <c r="N2340" s="33">
        <v>1</v>
      </c>
      <c r="O2340" s="58">
        <f>ROUND(PRODUCT(J2340:N2340),2)</f>
        <v>1</v>
      </c>
    </row>
    <row r="2341" spans="1:17" hidden="1" outlineLevel="1">
      <c r="A2341" s="2">
        <v>6</v>
      </c>
      <c r="B2341" s="2">
        <v>11</v>
      </c>
      <c r="C2341" s="2">
        <f>1+C2339</f>
        <v>85</v>
      </c>
      <c r="E2341" s="20" t="str">
        <f>CONCATENATE(A2341,".",B2341,".",C2341)</f>
        <v>6.11.85</v>
      </c>
      <c r="F2341" s="21" t="s">
        <v>3871</v>
      </c>
      <c r="G2341" s="22" t="s">
        <v>3872</v>
      </c>
      <c r="H2341" s="23" t="s">
        <v>3873</v>
      </c>
      <c r="I2341" s="24" t="s">
        <v>36</v>
      </c>
      <c r="J2341" s="32"/>
      <c r="K2341" s="10"/>
      <c r="L2341" s="32"/>
      <c r="M2341" s="10"/>
      <c r="N2341" s="33"/>
      <c r="O2341" s="11">
        <f>SUM(O2342)</f>
        <v>5</v>
      </c>
    </row>
    <row r="2342" spans="1:17" hidden="1" outlineLevel="2">
      <c r="E2342" s="20"/>
      <c r="F2342" s="21"/>
      <c r="G2342" s="65"/>
      <c r="H2342" s="23"/>
      <c r="I2342" s="24"/>
      <c r="J2342" s="32"/>
      <c r="K2342" s="64"/>
      <c r="L2342" s="32"/>
      <c r="M2342" s="10"/>
      <c r="N2342" s="33">
        <v>5</v>
      </c>
      <c r="O2342" s="58">
        <f>ROUND(PRODUCT(J2342:N2342),2)</f>
        <v>5</v>
      </c>
    </row>
    <row r="2343" spans="1:17" ht="45" hidden="1" outlineLevel="1">
      <c r="A2343" s="2">
        <v>6</v>
      </c>
      <c r="B2343" s="2">
        <v>11</v>
      </c>
      <c r="C2343" s="2">
        <f>1+C2341</f>
        <v>86</v>
      </c>
      <c r="E2343" s="20" t="str">
        <f>CONCATENATE(A2343,".",B2343,".",C2343)</f>
        <v>6.11.86</v>
      </c>
      <c r="F2343" s="21" t="s">
        <v>3874</v>
      </c>
      <c r="G2343" s="22">
        <v>101881</v>
      </c>
      <c r="H2343" s="23" t="s">
        <v>3219</v>
      </c>
      <c r="I2343" s="24" t="s">
        <v>36</v>
      </c>
      <c r="J2343" s="32"/>
      <c r="K2343" s="10"/>
      <c r="L2343" s="32"/>
      <c r="M2343" s="10"/>
      <c r="N2343" s="33"/>
      <c r="O2343" s="11">
        <f>SUM(O2344)</f>
        <v>2</v>
      </c>
    </row>
    <row r="2344" spans="1:17" hidden="1" outlineLevel="2">
      <c r="E2344" s="20"/>
      <c r="F2344" s="21"/>
      <c r="G2344" s="65"/>
      <c r="H2344" s="23"/>
      <c r="I2344" s="24"/>
      <c r="J2344" s="32"/>
      <c r="K2344" s="64"/>
      <c r="L2344" s="32"/>
      <c r="M2344" s="10"/>
      <c r="N2344" s="33">
        <v>2</v>
      </c>
      <c r="O2344" s="58">
        <f>ROUND(PRODUCT(J2344:N2344),2)</f>
        <v>2</v>
      </c>
    </row>
    <row r="2345" spans="1:17" hidden="1" outlineLevel="1">
      <c r="A2345" s="2">
        <v>6</v>
      </c>
      <c r="B2345" s="2">
        <v>11</v>
      </c>
      <c r="C2345" s="2">
        <f>1+C2343</f>
        <v>87</v>
      </c>
      <c r="E2345" s="20" t="str">
        <f>CONCATENATE(A2345,".",B2345,".",C2345)</f>
        <v>6.11.87</v>
      </c>
      <c r="F2345" s="21" t="s">
        <v>3875</v>
      </c>
      <c r="G2345" s="22" t="s">
        <v>3876</v>
      </c>
      <c r="H2345" s="23" t="s">
        <v>3877</v>
      </c>
      <c r="I2345" s="24" t="s">
        <v>36</v>
      </c>
      <c r="J2345" s="32"/>
      <c r="K2345" s="10"/>
      <c r="L2345" s="32"/>
      <c r="M2345" s="10"/>
      <c r="N2345" s="33"/>
      <c r="O2345" s="11">
        <f>SUM(O2346)</f>
        <v>2</v>
      </c>
    </row>
    <row r="2346" spans="1:17" hidden="1" outlineLevel="2">
      <c r="E2346" s="20"/>
      <c r="F2346" s="21"/>
      <c r="G2346" s="65"/>
      <c r="H2346" s="23"/>
      <c r="I2346" s="24"/>
      <c r="J2346" s="32"/>
      <c r="K2346" s="64"/>
      <c r="L2346" s="32"/>
      <c r="M2346" s="10"/>
      <c r="N2346" s="33">
        <v>2</v>
      </c>
      <c r="O2346" s="58">
        <f>ROUND(PRODUCT(J2346:N2346),2)</f>
        <v>2</v>
      </c>
    </row>
    <row r="2347" spans="1:17" collapsed="1">
      <c r="A2347" s="2">
        <v>6</v>
      </c>
      <c r="B2347" s="2">
        <v>12</v>
      </c>
      <c r="E2347" s="42" t="str">
        <f>CONCATENATE(A2347,".",B2347)</f>
        <v>6.12</v>
      </c>
      <c r="F2347" s="45" t="s">
        <v>3878</v>
      </c>
      <c r="G2347" s="13"/>
      <c r="H2347" s="14" t="s">
        <v>700</v>
      </c>
      <c r="I2347" s="15"/>
      <c r="J2347" s="16"/>
      <c r="K2347" s="17"/>
      <c r="L2347" s="16"/>
      <c r="M2347" s="17"/>
      <c r="N2347" s="18"/>
      <c r="O2347" s="19"/>
      <c r="P2347" s="185"/>
      <c r="Q2347" s="185"/>
    </row>
    <row r="2348" spans="1:17">
      <c r="A2348" s="2">
        <v>6</v>
      </c>
      <c r="B2348" s="2">
        <v>12</v>
      </c>
      <c r="C2348" s="2">
        <v>1</v>
      </c>
      <c r="E2348" s="42" t="str">
        <f>CONCATENATE(A2348,".",B2348,".",C2348)</f>
        <v>6.12.1</v>
      </c>
      <c r="F2348" s="45" t="s">
        <v>3879</v>
      </c>
      <c r="G2348" s="13"/>
      <c r="H2348" s="14" t="s">
        <v>702</v>
      </c>
      <c r="I2348" s="15"/>
      <c r="J2348" s="16"/>
      <c r="K2348" s="17"/>
      <c r="L2348" s="16"/>
      <c r="M2348" s="17"/>
      <c r="N2348" s="18"/>
      <c r="O2348" s="19"/>
      <c r="P2348" s="185"/>
      <c r="Q2348" s="185"/>
    </row>
    <row r="2349" spans="1:17" ht="30" hidden="1" outlineLevel="1">
      <c r="A2349" s="2">
        <v>6</v>
      </c>
      <c r="B2349" s="2">
        <v>12</v>
      </c>
      <c r="C2349" s="2">
        <v>1</v>
      </c>
      <c r="D2349" s="2" t="e">
        <f>1+#REF!</f>
        <v>#REF!</v>
      </c>
      <c r="E2349" s="20" t="e">
        <f>CONCATENATE(A2349,".",B2349,".",C2349,".",D2349)</f>
        <v>#REF!</v>
      </c>
      <c r="F2349" s="21" t="s">
        <v>3880</v>
      </c>
      <c r="G2349" s="22">
        <v>94717</v>
      </c>
      <c r="H2349" s="23" t="s">
        <v>1080</v>
      </c>
      <c r="I2349" s="24" t="s">
        <v>144</v>
      </c>
      <c r="J2349" s="32"/>
      <c r="K2349" s="10"/>
      <c r="L2349" s="32"/>
      <c r="M2349" s="10"/>
      <c r="N2349" s="33"/>
      <c r="O2349" s="11">
        <f>SUM(O2350)</f>
        <v>25.74</v>
      </c>
    </row>
    <row r="2350" spans="1:17" hidden="1" outlineLevel="2">
      <c r="E2350" s="20"/>
      <c r="F2350" s="21"/>
      <c r="G2350" s="22"/>
      <c r="H2350" s="23"/>
      <c r="I2350" s="24"/>
      <c r="J2350" s="32"/>
      <c r="K2350" s="64"/>
      <c r="L2350" s="32"/>
      <c r="M2350" s="10"/>
      <c r="N2350" s="33">
        <v>25.74</v>
      </c>
      <c r="O2350" s="58">
        <f>ROUND(PRODUCT(J2350:N2350),2)</f>
        <v>25.74</v>
      </c>
    </row>
    <row r="2351" spans="1:17" ht="30" hidden="1" outlineLevel="1">
      <c r="A2351" s="2">
        <v>6</v>
      </c>
      <c r="B2351" s="2">
        <v>12</v>
      </c>
      <c r="C2351" s="2">
        <v>1</v>
      </c>
      <c r="D2351" s="2" t="e">
        <f>1+D2349</f>
        <v>#REF!</v>
      </c>
      <c r="E2351" s="20" t="e">
        <f>CONCATENATE(A2351,".",B2351,".",C2351,".",D2351)</f>
        <v>#REF!</v>
      </c>
      <c r="F2351" s="21" t="s">
        <v>3881</v>
      </c>
      <c r="G2351" s="22">
        <v>89357</v>
      </c>
      <c r="H2351" s="23" t="s">
        <v>3261</v>
      </c>
      <c r="I2351" s="24" t="s">
        <v>144</v>
      </c>
      <c r="J2351" s="32"/>
      <c r="K2351" s="10"/>
      <c r="L2351" s="32"/>
      <c r="M2351" s="10"/>
      <c r="N2351" s="33"/>
      <c r="O2351" s="11">
        <f>SUM(O2352)</f>
        <v>19.649999999999999</v>
      </c>
    </row>
    <row r="2352" spans="1:17" hidden="1" outlineLevel="2">
      <c r="E2352" s="20"/>
      <c r="F2352" s="21"/>
      <c r="G2352" s="22"/>
      <c r="H2352" s="23"/>
      <c r="I2352" s="24"/>
      <c r="J2352" s="32"/>
      <c r="K2352" s="64"/>
      <c r="L2352" s="32"/>
      <c r="M2352" s="10"/>
      <c r="N2352" s="33">
        <v>19.649999999999999</v>
      </c>
      <c r="O2352" s="58">
        <f>ROUND(PRODUCT(J2352:N2352),2)</f>
        <v>19.649999999999999</v>
      </c>
    </row>
    <row r="2353" spans="1:15" ht="30" hidden="1" outlineLevel="1">
      <c r="A2353" s="2">
        <v>6</v>
      </c>
      <c r="B2353" s="2">
        <v>12</v>
      </c>
      <c r="C2353" s="2">
        <v>1</v>
      </c>
      <c r="D2353" s="2" t="e">
        <f>1+D2351</f>
        <v>#REF!</v>
      </c>
      <c r="E2353" s="20" t="e">
        <f>CONCATENATE(A2353,".",B2353,".",C2353,".",D2353)</f>
        <v>#REF!</v>
      </c>
      <c r="F2353" s="21" t="s">
        <v>3882</v>
      </c>
      <c r="G2353" s="22">
        <v>89355</v>
      </c>
      <c r="H2353" s="23" t="s">
        <v>3883</v>
      </c>
      <c r="I2353" s="24" t="s">
        <v>144</v>
      </c>
      <c r="J2353" s="32"/>
      <c r="K2353" s="10"/>
      <c r="L2353" s="32"/>
      <c r="M2353" s="10"/>
      <c r="N2353" s="33"/>
      <c r="O2353" s="11">
        <f>SUM(O2354)</f>
        <v>5.64</v>
      </c>
    </row>
    <row r="2354" spans="1:15" hidden="1" outlineLevel="2">
      <c r="E2354" s="20"/>
      <c r="F2354" s="21"/>
      <c r="G2354" s="22"/>
      <c r="H2354" s="23"/>
      <c r="I2354" s="24"/>
      <c r="J2354" s="32"/>
      <c r="K2354" s="64"/>
      <c r="L2354" s="32"/>
      <c r="M2354" s="10"/>
      <c r="N2354" s="33">
        <v>5.64</v>
      </c>
      <c r="O2354" s="58">
        <f>ROUND(PRODUCT(J2354:N2354),2)</f>
        <v>5.64</v>
      </c>
    </row>
    <row r="2355" spans="1:15" ht="30" hidden="1" outlineLevel="1">
      <c r="A2355" s="2">
        <v>6</v>
      </c>
      <c r="B2355" s="2">
        <v>12</v>
      </c>
      <c r="C2355" s="2">
        <v>1</v>
      </c>
      <c r="D2355" s="2" t="e">
        <f>1+D2353</f>
        <v>#REF!</v>
      </c>
      <c r="E2355" s="20" t="e">
        <f>CONCATENATE(A2355,".",B2355,".",C2355,".",D2355)</f>
        <v>#REF!</v>
      </c>
      <c r="F2355" s="21" t="s">
        <v>3884</v>
      </c>
      <c r="G2355" s="22">
        <v>89356</v>
      </c>
      <c r="H2355" s="23" t="s">
        <v>3263</v>
      </c>
      <c r="I2355" s="24" t="s">
        <v>144</v>
      </c>
      <c r="J2355" s="32"/>
      <c r="K2355" s="10"/>
      <c r="L2355" s="32"/>
      <c r="M2355" s="10"/>
      <c r="N2355" s="33"/>
      <c r="O2355" s="11">
        <f>SUM(O2356)</f>
        <v>106.18</v>
      </c>
    </row>
    <row r="2356" spans="1:15" hidden="1" outlineLevel="2">
      <c r="E2356" s="20"/>
      <c r="F2356" s="21"/>
      <c r="G2356" s="22"/>
      <c r="H2356" s="23"/>
      <c r="I2356" s="24"/>
      <c r="J2356" s="32"/>
      <c r="K2356" s="64"/>
      <c r="L2356" s="32"/>
      <c r="M2356" s="10"/>
      <c r="N2356" s="33">
        <v>106.18</v>
      </c>
      <c r="O2356" s="58">
        <f>ROUND(PRODUCT(J2356:N2356),2)</f>
        <v>106.18</v>
      </c>
    </row>
    <row r="2357" spans="1:15" ht="30" hidden="1" outlineLevel="1">
      <c r="A2357" s="2">
        <v>6</v>
      </c>
      <c r="B2357" s="2">
        <v>12</v>
      </c>
      <c r="C2357" s="2">
        <v>1</v>
      </c>
      <c r="D2357" s="2" t="e">
        <f>1+#REF!</f>
        <v>#REF!</v>
      </c>
      <c r="E2357" s="20" t="e">
        <f>CONCATENATE(A2357,".",B2357,".",C2357,".",D2357)</f>
        <v>#REF!</v>
      </c>
      <c r="F2357" s="21" t="s">
        <v>3885</v>
      </c>
      <c r="G2357" s="22">
        <v>103948</v>
      </c>
      <c r="H2357" s="23" t="s">
        <v>714</v>
      </c>
      <c r="I2357" s="24" t="s">
        <v>36</v>
      </c>
      <c r="J2357" s="32"/>
      <c r="K2357" s="10"/>
      <c r="L2357" s="32"/>
      <c r="M2357" s="10"/>
      <c r="N2357" s="33"/>
      <c r="O2357" s="11">
        <f>SUM(O2358)</f>
        <v>3</v>
      </c>
    </row>
    <row r="2358" spans="1:15" hidden="1" outlineLevel="2">
      <c r="E2358" s="20"/>
      <c r="F2358" s="21"/>
      <c r="G2358" s="22"/>
      <c r="H2358" s="23"/>
      <c r="I2358" s="24"/>
      <c r="J2358" s="32"/>
      <c r="K2358" s="64"/>
      <c r="L2358" s="32"/>
      <c r="M2358" s="10"/>
      <c r="N2358" s="33">
        <v>3</v>
      </c>
      <c r="O2358" s="58">
        <f>ROUND(PRODUCT(J2358:N2358),2)</f>
        <v>3</v>
      </c>
    </row>
    <row r="2359" spans="1:15" ht="30" hidden="1" outlineLevel="1">
      <c r="A2359" s="2">
        <v>6</v>
      </c>
      <c r="B2359" s="2">
        <v>12</v>
      </c>
      <c r="C2359" s="2">
        <v>1</v>
      </c>
      <c r="D2359" s="2" t="e">
        <f>1+D2357</f>
        <v>#REF!</v>
      </c>
      <c r="E2359" s="20" t="e">
        <f>CONCATENATE(A2359,".",B2359,".",C2359,".",D2359)</f>
        <v>#REF!</v>
      </c>
      <c r="F2359" s="21" t="s">
        <v>3886</v>
      </c>
      <c r="G2359" s="22">
        <v>103952</v>
      </c>
      <c r="H2359" s="23" t="s">
        <v>717</v>
      </c>
      <c r="I2359" s="24" t="s">
        <v>36</v>
      </c>
      <c r="J2359" s="32"/>
      <c r="K2359" s="10"/>
      <c r="L2359" s="32"/>
      <c r="M2359" s="10"/>
      <c r="N2359" s="33"/>
      <c r="O2359" s="11">
        <f>SUM(O2360)</f>
        <v>3</v>
      </c>
    </row>
    <row r="2360" spans="1:15" hidden="1" outlineLevel="2">
      <c r="E2360" s="20"/>
      <c r="F2360" s="21"/>
      <c r="G2360" s="22"/>
      <c r="H2360" s="23"/>
      <c r="I2360" s="24"/>
      <c r="J2360" s="32"/>
      <c r="K2360" s="64"/>
      <c r="L2360" s="32"/>
      <c r="M2360" s="10"/>
      <c r="N2360" s="33">
        <v>3</v>
      </c>
      <c r="O2360" s="58">
        <f>ROUND(PRODUCT(J2360:N2360),2)</f>
        <v>3</v>
      </c>
    </row>
    <row r="2361" spans="1:15" ht="30" hidden="1" outlineLevel="1">
      <c r="A2361" s="2">
        <v>6</v>
      </c>
      <c r="B2361" s="2">
        <v>12</v>
      </c>
      <c r="C2361" s="2">
        <v>1</v>
      </c>
      <c r="D2361" s="2" t="e">
        <f>1+#REF!</f>
        <v>#REF!</v>
      </c>
      <c r="E2361" s="20" t="e">
        <f>CONCATENATE(A2361,".",B2361,".",C2361,".",D2361)</f>
        <v>#REF!</v>
      </c>
      <c r="F2361" s="21" t="s">
        <v>3887</v>
      </c>
      <c r="G2361" s="22">
        <v>89723</v>
      </c>
      <c r="H2361" s="23" t="s">
        <v>3888</v>
      </c>
      <c r="I2361" s="24" t="s">
        <v>36</v>
      </c>
      <c r="J2361" s="32"/>
      <c r="K2361" s="10"/>
      <c r="L2361" s="32"/>
      <c r="M2361" s="10"/>
      <c r="N2361" s="33"/>
      <c r="O2361" s="11">
        <f>SUM(O2362)</f>
        <v>13</v>
      </c>
    </row>
    <row r="2362" spans="1:15" hidden="1" outlineLevel="2">
      <c r="E2362" s="20"/>
      <c r="F2362" s="21"/>
      <c r="G2362" s="22"/>
      <c r="H2362" s="23"/>
      <c r="I2362" s="24"/>
      <c r="J2362" s="32"/>
      <c r="K2362" s="64"/>
      <c r="L2362" s="32"/>
      <c r="M2362" s="10"/>
      <c r="N2362" s="33">
        <v>13</v>
      </c>
      <c r="O2362" s="58">
        <f>ROUND(PRODUCT(J2362:N2362),2)</f>
        <v>13</v>
      </c>
    </row>
    <row r="2363" spans="1:15" ht="45" hidden="1" outlineLevel="1">
      <c r="A2363" s="2">
        <v>6</v>
      </c>
      <c r="B2363" s="2">
        <v>12</v>
      </c>
      <c r="C2363" s="2">
        <v>1</v>
      </c>
      <c r="D2363" s="2" t="e">
        <f>1+D2361</f>
        <v>#REF!</v>
      </c>
      <c r="E2363" s="20" t="e">
        <f>CONCATENATE(A2363,".",B2363,".",C2363,".",D2363)</f>
        <v>#REF!</v>
      </c>
      <c r="F2363" s="21" t="s">
        <v>3889</v>
      </c>
      <c r="G2363" s="22">
        <v>90373</v>
      </c>
      <c r="H2363" s="23" t="s">
        <v>3267</v>
      </c>
      <c r="I2363" s="24" t="s">
        <v>36</v>
      </c>
      <c r="J2363" s="32"/>
      <c r="K2363" s="10"/>
      <c r="L2363" s="32"/>
      <c r="M2363" s="10"/>
      <c r="N2363" s="33"/>
      <c r="O2363" s="11">
        <f>SUM(O2364)</f>
        <v>4</v>
      </c>
    </row>
    <row r="2364" spans="1:15" hidden="1" outlineLevel="2">
      <c r="E2364" s="20"/>
      <c r="F2364" s="21"/>
      <c r="G2364" s="22"/>
      <c r="H2364" s="23"/>
      <c r="I2364" s="24"/>
      <c r="J2364" s="32"/>
      <c r="K2364" s="64"/>
      <c r="L2364" s="32"/>
      <c r="M2364" s="10"/>
      <c r="N2364" s="33">
        <v>4</v>
      </c>
      <c r="O2364" s="58">
        <f>ROUND(PRODUCT(J2364:N2364),2)</f>
        <v>4</v>
      </c>
    </row>
    <row r="2365" spans="1:15" ht="45" hidden="1" outlineLevel="1">
      <c r="A2365" s="2">
        <v>6</v>
      </c>
      <c r="B2365" s="2">
        <v>12</v>
      </c>
      <c r="C2365" s="2">
        <v>1</v>
      </c>
      <c r="D2365" s="2" t="e">
        <f>1+D2363</f>
        <v>#REF!</v>
      </c>
      <c r="E2365" s="20" t="e">
        <f>CONCATENATE(A2365,".",B2365,".",C2365,".",D2365)</f>
        <v>#REF!</v>
      </c>
      <c r="F2365" s="21" t="s">
        <v>3890</v>
      </c>
      <c r="G2365" s="22">
        <v>89366</v>
      </c>
      <c r="H2365" s="23" t="s">
        <v>3269</v>
      </c>
      <c r="I2365" s="24" t="s">
        <v>36</v>
      </c>
      <c r="J2365" s="32"/>
      <c r="K2365" s="10"/>
      <c r="L2365" s="32"/>
      <c r="M2365" s="10"/>
      <c r="N2365" s="33"/>
      <c r="O2365" s="11">
        <f>SUM(O2366)</f>
        <v>23</v>
      </c>
    </row>
    <row r="2366" spans="1:15" hidden="1" outlineLevel="2">
      <c r="E2366" s="20"/>
      <c r="F2366" s="21"/>
      <c r="G2366" s="22"/>
      <c r="H2366" s="23"/>
      <c r="I2366" s="24"/>
      <c r="J2366" s="32"/>
      <c r="K2366" s="64"/>
      <c r="L2366" s="32"/>
      <c r="M2366" s="10"/>
      <c r="N2366" s="33">
        <v>23</v>
      </c>
      <c r="O2366" s="58">
        <f>ROUND(PRODUCT(J2366:N2366),2)</f>
        <v>23</v>
      </c>
    </row>
    <row r="2367" spans="1:15" ht="30" hidden="1" outlineLevel="1">
      <c r="A2367" s="2">
        <v>6</v>
      </c>
      <c r="B2367" s="2">
        <v>12</v>
      </c>
      <c r="C2367" s="2">
        <v>1</v>
      </c>
      <c r="D2367" s="2" t="e">
        <f>1+D2365</f>
        <v>#REF!</v>
      </c>
      <c r="E2367" s="20" t="e">
        <f>CONCATENATE(A2367,".",B2367,".",C2367,".",D2367)</f>
        <v>#REF!</v>
      </c>
      <c r="F2367" s="21" t="s">
        <v>3891</v>
      </c>
      <c r="G2367" s="22">
        <v>89367</v>
      </c>
      <c r="H2367" s="23" t="s">
        <v>726</v>
      </c>
      <c r="I2367" s="24" t="s">
        <v>36</v>
      </c>
      <c r="J2367" s="32"/>
      <c r="K2367" s="10"/>
      <c r="L2367" s="32"/>
      <c r="M2367" s="10"/>
      <c r="N2367" s="33"/>
      <c r="O2367" s="11">
        <f>SUM(O2368)</f>
        <v>7</v>
      </c>
    </row>
    <row r="2368" spans="1:15" hidden="1" outlineLevel="2">
      <c r="E2368" s="20"/>
      <c r="F2368" s="21"/>
      <c r="G2368" s="22"/>
      <c r="H2368" s="23"/>
      <c r="I2368" s="24"/>
      <c r="J2368" s="32"/>
      <c r="K2368" s="64"/>
      <c r="L2368" s="32"/>
      <c r="M2368" s="10"/>
      <c r="N2368" s="33">
        <v>7</v>
      </c>
      <c r="O2368" s="58">
        <f>ROUND(PRODUCT(J2368:N2368),2)</f>
        <v>7</v>
      </c>
    </row>
    <row r="2369" spans="1:15" ht="30" hidden="1" outlineLevel="1">
      <c r="A2369" s="2">
        <v>6</v>
      </c>
      <c r="B2369" s="2">
        <v>12</v>
      </c>
      <c r="C2369" s="2">
        <v>1</v>
      </c>
      <c r="D2369" s="2" t="e">
        <f>1+#REF!</f>
        <v>#REF!</v>
      </c>
      <c r="E2369" s="20" t="e">
        <f>CONCATENATE(A2369,".",B2369,".",C2369,".",D2369)</f>
        <v>#REF!</v>
      </c>
      <c r="F2369" s="21" t="s">
        <v>3892</v>
      </c>
      <c r="G2369" s="22">
        <v>89362</v>
      </c>
      <c r="H2369" s="23" t="s">
        <v>729</v>
      </c>
      <c r="I2369" s="24" t="s">
        <v>36</v>
      </c>
      <c r="J2369" s="32"/>
      <c r="K2369" s="10"/>
      <c r="L2369" s="32"/>
      <c r="M2369" s="10"/>
      <c r="N2369" s="33"/>
      <c r="O2369" s="11">
        <f>SUM(O2370)</f>
        <v>57</v>
      </c>
    </row>
    <row r="2370" spans="1:15" hidden="1" outlineLevel="2">
      <c r="E2370" s="20"/>
      <c r="F2370" s="21"/>
      <c r="G2370" s="22"/>
      <c r="H2370" s="23"/>
      <c r="I2370" s="24"/>
      <c r="J2370" s="32"/>
      <c r="K2370" s="64"/>
      <c r="L2370" s="32"/>
      <c r="M2370" s="10"/>
      <c r="N2370" s="33">
        <v>57</v>
      </c>
      <c r="O2370" s="58">
        <f>ROUND(PRODUCT(J2370:N2370),2)</f>
        <v>57</v>
      </c>
    </row>
    <row r="2371" spans="1:15" ht="45" hidden="1" outlineLevel="1">
      <c r="A2371" s="2">
        <v>6</v>
      </c>
      <c r="B2371" s="2">
        <v>12</v>
      </c>
      <c r="C2371" s="2">
        <v>1</v>
      </c>
      <c r="D2371" s="2" t="e">
        <f>1+#REF!</f>
        <v>#REF!</v>
      </c>
      <c r="E2371" s="20" t="e">
        <f>CONCATENATE(A2371,".",B2371,".",C2371,".",D2371)</f>
        <v>#REF!</v>
      </c>
      <c r="F2371" s="21" t="s">
        <v>3893</v>
      </c>
      <c r="G2371" s="22">
        <v>89396</v>
      </c>
      <c r="H2371" s="23" t="s">
        <v>3273</v>
      </c>
      <c r="I2371" s="24" t="s">
        <v>36</v>
      </c>
      <c r="J2371" s="32"/>
      <c r="K2371" s="10"/>
      <c r="L2371" s="32"/>
      <c r="M2371" s="10"/>
      <c r="N2371" s="33"/>
      <c r="O2371" s="11">
        <f>SUM(O2372)</f>
        <v>2</v>
      </c>
    </row>
    <row r="2372" spans="1:15" hidden="1" outlineLevel="2">
      <c r="E2372" s="20"/>
      <c r="F2372" s="21"/>
      <c r="G2372" s="22"/>
      <c r="H2372" s="23"/>
      <c r="I2372" s="24"/>
      <c r="J2372" s="32"/>
      <c r="K2372" s="64"/>
      <c r="L2372" s="32"/>
      <c r="M2372" s="10"/>
      <c r="N2372" s="33">
        <v>2</v>
      </c>
      <c r="O2372" s="58">
        <f>ROUND(PRODUCT(J2372:N2372),2)</f>
        <v>2</v>
      </c>
    </row>
    <row r="2373" spans="1:15" ht="45" hidden="1" outlineLevel="1">
      <c r="A2373" s="2">
        <v>6</v>
      </c>
      <c r="B2373" s="2">
        <v>12</v>
      </c>
      <c r="C2373" s="2">
        <v>1</v>
      </c>
      <c r="D2373" s="2" t="e">
        <f>1+D2371</f>
        <v>#REF!</v>
      </c>
      <c r="E2373" s="20" t="e">
        <f>CONCATENATE(A2373,".",B2373,".",C2373,".",D2373)</f>
        <v>#REF!</v>
      </c>
      <c r="F2373" s="21" t="s">
        <v>3894</v>
      </c>
      <c r="G2373" s="22">
        <v>94689</v>
      </c>
      <c r="H2373" s="23" t="s">
        <v>3895</v>
      </c>
      <c r="I2373" s="24" t="s">
        <v>36</v>
      </c>
      <c r="J2373" s="32"/>
      <c r="K2373" s="10"/>
      <c r="L2373" s="32"/>
      <c r="M2373" s="10"/>
      <c r="N2373" s="33"/>
      <c r="O2373" s="11">
        <f>SUM(O2374)</f>
        <v>10</v>
      </c>
    </row>
    <row r="2374" spans="1:15" hidden="1" outlineLevel="2">
      <c r="E2374" s="20"/>
      <c r="F2374" s="21"/>
      <c r="G2374" s="22"/>
      <c r="H2374" s="23"/>
      <c r="I2374" s="24"/>
      <c r="J2374" s="32"/>
      <c r="K2374" s="64"/>
      <c r="L2374" s="32"/>
      <c r="M2374" s="10"/>
      <c r="N2374" s="33">
        <v>10</v>
      </c>
      <c r="O2374" s="58">
        <f>ROUND(PRODUCT(J2374:N2374),2)</f>
        <v>10</v>
      </c>
    </row>
    <row r="2375" spans="1:15" ht="30" hidden="1" outlineLevel="1">
      <c r="A2375" s="2">
        <v>6</v>
      </c>
      <c r="B2375" s="2">
        <v>12</v>
      </c>
      <c r="C2375" s="2">
        <v>1</v>
      </c>
      <c r="D2375" s="2" t="e">
        <f>1+D2373</f>
        <v>#REF!</v>
      </c>
      <c r="E2375" s="20" t="e">
        <f>CONCATENATE(A2375,".",B2375,".",C2375,".",D2375)</f>
        <v>#REF!</v>
      </c>
      <c r="F2375" s="21" t="s">
        <v>3896</v>
      </c>
      <c r="G2375" s="22">
        <v>89400</v>
      </c>
      <c r="H2375" s="23" t="s">
        <v>738</v>
      </c>
      <c r="I2375" s="24" t="s">
        <v>36</v>
      </c>
      <c r="J2375" s="32"/>
      <c r="K2375" s="10"/>
      <c r="L2375" s="32"/>
      <c r="M2375" s="10"/>
      <c r="N2375" s="33"/>
      <c r="O2375" s="11">
        <f>SUM(O2376)</f>
        <v>2</v>
      </c>
    </row>
    <row r="2376" spans="1:15" hidden="1" outlineLevel="2">
      <c r="E2376" s="20"/>
      <c r="F2376" s="21"/>
      <c r="G2376" s="22"/>
      <c r="H2376" s="23"/>
      <c r="I2376" s="24"/>
      <c r="J2376" s="32"/>
      <c r="K2376" s="64"/>
      <c r="L2376" s="32"/>
      <c r="M2376" s="10"/>
      <c r="N2376" s="33">
        <v>2</v>
      </c>
      <c r="O2376" s="58">
        <f>ROUND(PRODUCT(J2376:N2376),2)</f>
        <v>2</v>
      </c>
    </row>
    <row r="2377" spans="1:15" ht="30" hidden="1" outlineLevel="1">
      <c r="A2377" s="2">
        <v>6</v>
      </c>
      <c r="B2377" s="2">
        <v>12</v>
      </c>
      <c r="C2377" s="2">
        <v>1</v>
      </c>
      <c r="D2377" s="2" t="e">
        <f>1+D2375</f>
        <v>#REF!</v>
      </c>
      <c r="E2377" s="20" t="e">
        <f>CONCATENATE(A2377,".",B2377,".",C2377,".",D2377)</f>
        <v>#REF!</v>
      </c>
      <c r="F2377" s="21" t="s">
        <v>3897</v>
      </c>
      <c r="G2377" s="22">
        <v>94757</v>
      </c>
      <c r="H2377" s="23" t="s">
        <v>1100</v>
      </c>
      <c r="I2377" s="24" t="s">
        <v>36</v>
      </c>
      <c r="J2377" s="32"/>
      <c r="K2377" s="10"/>
      <c r="L2377" s="32"/>
      <c r="M2377" s="10"/>
      <c r="N2377" s="33"/>
      <c r="O2377" s="11">
        <f>SUM(O2378)</f>
        <v>2</v>
      </c>
    </row>
    <row r="2378" spans="1:15" hidden="1" outlineLevel="2">
      <c r="E2378" s="20"/>
      <c r="F2378" s="21"/>
      <c r="G2378" s="22"/>
      <c r="H2378" s="23"/>
      <c r="I2378" s="24"/>
      <c r="J2378" s="32"/>
      <c r="K2378" s="64"/>
      <c r="L2378" s="32"/>
      <c r="M2378" s="10"/>
      <c r="N2378" s="33">
        <v>2</v>
      </c>
      <c r="O2378" s="58">
        <f>ROUND(PRODUCT(J2378:N2378),2)</f>
        <v>2</v>
      </c>
    </row>
    <row r="2379" spans="1:15" ht="30" hidden="1" outlineLevel="1">
      <c r="A2379" s="2">
        <v>6</v>
      </c>
      <c r="B2379" s="2">
        <v>12</v>
      </c>
      <c r="C2379" s="2">
        <v>1</v>
      </c>
      <c r="D2379" s="2" t="e">
        <f>1+D2377</f>
        <v>#REF!</v>
      </c>
      <c r="E2379" s="20" t="e">
        <f>CONCATENATE(A2379,".",B2379,".",C2379,".",D2379)</f>
        <v>#REF!</v>
      </c>
      <c r="F2379" s="21" t="s">
        <v>3898</v>
      </c>
      <c r="G2379" s="22">
        <v>89397</v>
      </c>
      <c r="H2379" s="23" t="s">
        <v>1103</v>
      </c>
      <c r="I2379" s="24" t="s">
        <v>36</v>
      </c>
      <c r="J2379" s="32"/>
      <c r="K2379" s="10"/>
      <c r="L2379" s="32"/>
      <c r="M2379" s="10"/>
      <c r="N2379" s="33"/>
      <c r="O2379" s="11">
        <f>SUM(O2380)</f>
        <v>2</v>
      </c>
    </row>
    <row r="2380" spans="1:15" hidden="1" outlineLevel="2">
      <c r="E2380" s="20"/>
      <c r="F2380" s="21"/>
      <c r="G2380" s="22"/>
      <c r="H2380" s="23"/>
      <c r="I2380" s="24"/>
      <c r="J2380" s="32"/>
      <c r="K2380" s="64"/>
      <c r="L2380" s="32"/>
      <c r="M2380" s="10"/>
      <c r="N2380" s="33">
        <v>2</v>
      </c>
      <c r="O2380" s="58">
        <f>ROUND(PRODUCT(J2380:N2380),2)</f>
        <v>2</v>
      </c>
    </row>
    <row r="2381" spans="1:15" ht="30" hidden="1" outlineLevel="1">
      <c r="A2381" s="2">
        <v>6</v>
      </c>
      <c r="B2381" s="2">
        <v>12</v>
      </c>
      <c r="C2381" s="2">
        <v>1</v>
      </c>
      <c r="D2381" s="2" t="e">
        <f>1+#REF!</f>
        <v>#REF!</v>
      </c>
      <c r="E2381" s="20" t="e">
        <f>CONCATENATE(A2381,".",B2381,".",C2381,".",D2381)</f>
        <v>#REF!</v>
      </c>
      <c r="F2381" s="21" t="s">
        <v>3899</v>
      </c>
      <c r="G2381" s="22">
        <v>89398</v>
      </c>
      <c r="H2381" s="23" t="s">
        <v>1106</v>
      </c>
      <c r="I2381" s="24" t="s">
        <v>36</v>
      </c>
      <c r="J2381" s="32"/>
      <c r="K2381" s="10"/>
      <c r="L2381" s="32"/>
      <c r="M2381" s="10"/>
      <c r="N2381" s="33"/>
      <c r="O2381" s="11">
        <f>SUM(O2382)</f>
        <v>1</v>
      </c>
    </row>
    <row r="2382" spans="1:15" hidden="1" outlineLevel="2">
      <c r="E2382" s="20"/>
      <c r="F2382" s="21"/>
      <c r="G2382" s="22"/>
      <c r="H2382" s="23"/>
      <c r="I2382" s="24"/>
      <c r="J2382" s="32"/>
      <c r="K2382" s="64"/>
      <c r="L2382" s="32"/>
      <c r="M2382" s="10"/>
      <c r="N2382" s="33">
        <v>1</v>
      </c>
      <c r="O2382" s="58">
        <f>ROUND(PRODUCT(J2382:N2382),2)</f>
        <v>1</v>
      </c>
    </row>
    <row r="2383" spans="1:15" ht="30" hidden="1" outlineLevel="1">
      <c r="A2383" s="2">
        <v>6</v>
      </c>
      <c r="B2383" s="2">
        <v>12</v>
      </c>
      <c r="C2383" s="2">
        <v>1</v>
      </c>
      <c r="D2383" s="2" t="e">
        <f>1+D2381</f>
        <v>#REF!</v>
      </c>
      <c r="E2383" s="20" t="e">
        <f>CONCATENATE(A2383,".",B2383,".",C2383,".",D2383)</f>
        <v>#REF!</v>
      </c>
      <c r="F2383" s="21" t="s">
        <v>3900</v>
      </c>
      <c r="G2383" s="22">
        <v>89395</v>
      </c>
      <c r="H2383" s="23" t="s">
        <v>741</v>
      </c>
      <c r="I2383" s="24" t="s">
        <v>36</v>
      </c>
      <c r="J2383" s="32"/>
      <c r="K2383" s="10"/>
      <c r="L2383" s="32"/>
      <c r="M2383" s="10"/>
      <c r="N2383" s="33"/>
      <c r="O2383" s="11">
        <f>SUM(O2384)</f>
        <v>18</v>
      </c>
    </row>
    <row r="2384" spans="1:15" hidden="1" outlineLevel="2">
      <c r="E2384" s="20"/>
      <c r="F2384" s="21"/>
      <c r="G2384" s="22"/>
      <c r="H2384" s="23"/>
      <c r="I2384" s="24"/>
      <c r="J2384" s="32"/>
      <c r="K2384" s="64"/>
      <c r="L2384" s="32"/>
      <c r="M2384" s="10"/>
      <c r="N2384" s="33">
        <v>18</v>
      </c>
      <c r="O2384" s="58">
        <f>ROUND(PRODUCT(J2384:N2384),2)</f>
        <v>18</v>
      </c>
    </row>
    <row r="2385" spans="1:17" ht="30" hidden="1" outlineLevel="1">
      <c r="A2385" s="2">
        <v>6</v>
      </c>
      <c r="B2385" s="2">
        <v>12</v>
      </c>
      <c r="C2385" s="2">
        <v>1</v>
      </c>
      <c r="D2385" s="2" t="e">
        <f>1+#REF!</f>
        <v>#REF!</v>
      </c>
      <c r="E2385" s="20" t="e">
        <f>CONCATENATE(A2385,".",B2385,".",C2385,".",D2385)</f>
        <v>#REF!</v>
      </c>
      <c r="F2385" s="21" t="s">
        <v>3901</v>
      </c>
      <c r="G2385" s="65">
        <v>89353</v>
      </c>
      <c r="H2385" s="23" t="s">
        <v>750</v>
      </c>
      <c r="I2385" s="24" t="s">
        <v>36</v>
      </c>
      <c r="J2385" s="32"/>
      <c r="K2385" s="10"/>
      <c r="L2385" s="32"/>
      <c r="M2385" s="10"/>
      <c r="N2385" s="33"/>
      <c r="O2385" s="11">
        <f>SUM(O2386)</f>
        <v>7</v>
      </c>
      <c r="P2385" s="185"/>
    </row>
    <row r="2386" spans="1:17" hidden="1" outlineLevel="2">
      <c r="E2386" s="20"/>
      <c r="F2386" s="21"/>
      <c r="G2386" s="22"/>
      <c r="H2386" s="23"/>
      <c r="I2386" s="24"/>
      <c r="J2386" s="32"/>
      <c r="K2386" s="64"/>
      <c r="L2386" s="32"/>
      <c r="M2386" s="10"/>
      <c r="N2386" s="33">
        <v>7</v>
      </c>
      <c r="O2386" s="58">
        <f>ROUND(PRODUCT(J2386:N2386),2)</f>
        <v>7</v>
      </c>
    </row>
    <row r="2387" spans="1:17" ht="30" hidden="1" outlineLevel="1">
      <c r="A2387" s="2">
        <v>6</v>
      </c>
      <c r="B2387" s="2">
        <v>12</v>
      </c>
      <c r="C2387" s="2">
        <v>1</v>
      </c>
      <c r="D2387" s="2" t="e">
        <f>1+D2385</f>
        <v>#REF!</v>
      </c>
      <c r="E2387" s="20" t="e">
        <f>CONCATENATE(A2387,".",B2387,".",C2387,".",D2387)</f>
        <v>#REF!</v>
      </c>
      <c r="F2387" s="21" t="s">
        <v>3902</v>
      </c>
      <c r="G2387" s="65">
        <v>103045</v>
      </c>
      <c r="H2387" s="23" t="s">
        <v>1111</v>
      </c>
      <c r="I2387" s="24" t="s">
        <v>36</v>
      </c>
      <c r="J2387" s="32"/>
      <c r="K2387" s="10"/>
      <c r="L2387" s="32"/>
      <c r="M2387" s="10"/>
      <c r="N2387" s="33"/>
      <c r="O2387" s="11">
        <f>SUM(O2388)</f>
        <v>4</v>
      </c>
      <c r="P2387" s="185"/>
    </row>
    <row r="2388" spans="1:17" hidden="1" outlineLevel="2">
      <c r="E2388" s="20"/>
      <c r="F2388" s="21"/>
      <c r="G2388" s="22"/>
      <c r="H2388" s="23"/>
      <c r="I2388" s="24"/>
      <c r="J2388" s="32"/>
      <c r="K2388" s="64"/>
      <c r="L2388" s="32"/>
      <c r="M2388" s="10"/>
      <c r="N2388" s="33">
        <v>4</v>
      </c>
      <c r="O2388" s="58">
        <f>ROUND(PRODUCT(J2388:N2388),2)</f>
        <v>4</v>
      </c>
    </row>
    <row r="2389" spans="1:17" collapsed="1">
      <c r="A2389" s="2">
        <v>6</v>
      </c>
      <c r="B2389" s="2">
        <v>12</v>
      </c>
      <c r="C2389" s="2">
        <v>2</v>
      </c>
      <c r="E2389" s="42" t="str">
        <f>CONCATENATE(A2389,".",B2389,".",C2389)</f>
        <v>6.12.2</v>
      </c>
      <c r="F2389" s="45" t="s">
        <v>3903</v>
      </c>
      <c r="G2389" s="13"/>
      <c r="H2389" s="14" t="s">
        <v>752</v>
      </c>
      <c r="I2389" s="15"/>
      <c r="J2389" s="16"/>
      <c r="K2389" s="17"/>
      <c r="L2389" s="16"/>
      <c r="M2389" s="17"/>
      <c r="N2389" s="18"/>
      <c r="O2389" s="19"/>
      <c r="P2389" s="185"/>
      <c r="Q2389" s="185"/>
    </row>
    <row r="2390" spans="1:17" ht="30" hidden="1" outlineLevel="1">
      <c r="A2390" s="2">
        <v>6</v>
      </c>
      <c r="B2390" s="2">
        <v>12</v>
      </c>
      <c r="C2390" s="2">
        <v>2</v>
      </c>
      <c r="D2390" s="2" t="e">
        <f>1+#REF!</f>
        <v>#REF!</v>
      </c>
      <c r="E2390" s="20" t="e">
        <f>CONCATENATE(A2390,".",B2390,".",C2390,".",D2390)</f>
        <v>#REF!</v>
      </c>
      <c r="F2390" s="21" t="s">
        <v>3904</v>
      </c>
      <c r="G2390" s="22">
        <v>89713</v>
      </c>
      <c r="H2390" s="23" t="s">
        <v>761</v>
      </c>
      <c r="I2390" s="24" t="s">
        <v>144</v>
      </c>
      <c r="J2390" s="32"/>
      <c r="K2390" s="10"/>
      <c r="L2390" s="32"/>
      <c r="M2390" s="10"/>
      <c r="N2390" s="33"/>
      <c r="O2390" s="11">
        <f>SUM(O2391)</f>
        <v>23.85</v>
      </c>
    </row>
    <row r="2391" spans="1:17" hidden="1" outlineLevel="2">
      <c r="E2391" s="29"/>
      <c r="F2391" s="21"/>
      <c r="G2391" s="22"/>
      <c r="H2391" s="23"/>
      <c r="I2391" s="24"/>
      <c r="J2391" s="32"/>
      <c r="K2391" s="64"/>
      <c r="L2391" s="32"/>
      <c r="M2391" s="10"/>
      <c r="N2391" s="33">
        <v>23.85</v>
      </c>
      <c r="O2391" s="58">
        <f>ROUND(PRODUCT(J2391:N2391),2)</f>
        <v>23.85</v>
      </c>
    </row>
    <row r="2392" spans="1:17" ht="30" hidden="1" outlineLevel="1">
      <c r="A2392" s="2">
        <v>6</v>
      </c>
      <c r="B2392" s="2">
        <v>12</v>
      </c>
      <c r="C2392" s="2">
        <v>2</v>
      </c>
      <c r="D2392" s="2" t="e">
        <f>1+D2390</f>
        <v>#REF!</v>
      </c>
      <c r="E2392" s="20" t="e">
        <f>CONCATENATE(A2392,".",B2392,".",C2392,".",D2392)</f>
        <v>#REF!</v>
      </c>
      <c r="F2392" s="21" t="s">
        <v>3905</v>
      </c>
      <c r="G2392" s="22">
        <v>89714</v>
      </c>
      <c r="H2392" s="23" t="s">
        <v>758</v>
      </c>
      <c r="I2392" s="24" t="s">
        <v>144</v>
      </c>
      <c r="J2392" s="32"/>
      <c r="K2392" s="10"/>
      <c r="L2392" s="32"/>
      <c r="M2392" s="10"/>
      <c r="N2392" s="33"/>
      <c r="O2392" s="11">
        <f>SUM(O2393)</f>
        <v>65.31</v>
      </c>
    </row>
    <row r="2393" spans="1:17" hidden="1" outlineLevel="2">
      <c r="E2393" s="29"/>
      <c r="F2393" s="21"/>
      <c r="G2393" s="22"/>
      <c r="H2393" s="23"/>
      <c r="I2393" s="24"/>
      <c r="J2393" s="32"/>
      <c r="K2393" s="64"/>
      <c r="L2393" s="32"/>
      <c r="M2393" s="10"/>
      <c r="N2393" s="33">
        <v>65.31</v>
      </c>
      <c r="O2393" s="58">
        <f>ROUND(PRODUCT(J2393:N2393),2)</f>
        <v>65.31</v>
      </c>
    </row>
    <row r="2394" spans="1:17" ht="30" hidden="1" outlineLevel="1">
      <c r="A2394" s="2">
        <v>6</v>
      </c>
      <c r="B2394" s="2">
        <v>12</v>
      </c>
      <c r="C2394" s="2">
        <v>2</v>
      </c>
      <c r="D2394" s="2" t="e">
        <f>1+D2392</f>
        <v>#REF!</v>
      </c>
      <c r="E2394" s="20" t="e">
        <f>CONCATENATE(A2394,".",B2394,".",C2394,".",D2394)</f>
        <v>#REF!</v>
      </c>
      <c r="F2394" s="21" t="s">
        <v>3906</v>
      </c>
      <c r="G2394" s="22">
        <v>89712</v>
      </c>
      <c r="H2394" s="23" t="s">
        <v>764</v>
      </c>
      <c r="I2394" s="24" t="s">
        <v>144</v>
      </c>
      <c r="J2394" s="32"/>
      <c r="K2394" s="10"/>
      <c r="L2394" s="32"/>
      <c r="M2394" s="10"/>
      <c r="N2394" s="33"/>
      <c r="O2394" s="11">
        <f>SUM(O2395)</f>
        <v>134.31</v>
      </c>
    </row>
    <row r="2395" spans="1:17" hidden="1" outlineLevel="2">
      <c r="E2395" s="29"/>
      <c r="F2395" s="21"/>
      <c r="G2395" s="22"/>
      <c r="H2395" s="23"/>
      <c r="I2395" s="24"/>
      <c r="J2395" s="32"/>
      <c r="K2395" s="64"/>
      <c r="L2395" s="32"/>
      <c r="M2395" s="10"/>
      <c r="N2395" s="33">
        <v>134.31</v>
      </c>
      <c r="O2395" s="58">
        <f>ROUND(PRODUCT(J2395:N2395),2)</f>
        <v>134.31</v>
      </c>
    </row>
    <row r="2396" spans="1:17" ht="30" hidden="1" outlineLevel="1">
      <c r="A2396" s="2">
        <v>6</v>
      </c>
      <c r="B2396" s="2">
        <v>12</v>
      </c>
      <c r="C2396" s="2">
        <v>2</v>
      </c>
      <c r="D2396" s="2" t="e">
        <f>1+#REF!</f>
        <v>#REF!</v>
      </c>
      <c r="E2396" s="20" t="e">
        <f>CONCATENATE(A2396,".",B2396,".",C2396,".",D2396)</f>
        <v>#REF!</v>
      </c>
      <c r="F2396" s="21" t="s">
        <v>3907</v>
      </c>
      <c r="G2396" s="22">
        <v>89711</v>
      </c>
      <c r="H2396" s="23" t="s">
        <v>755</v>
      </c>
      <c r="I2396" s="24" t="s">
        <v>144</v>
      </c>
      <c r="J2396" s="32"/>
      <c r="K2396" s="10"/>
      <c r="L2396" s="32"/>
      <c r="M2396" s="10"/>
      <c r="N2396" s="33"/>
      <c r="O2396" s="11">
        <f>SUM(O2397)</f>
        <v>25.52</v>
      </c>
    </row>
    <row r="2397" spans="1:17" hidden="1" outlineLevel="2">
      <c r="E2397" s="29"/>
      <c r="F2397" s="21"/>
      <c r="G2397" s="22"/>
      <c r="H2397" s="23"/>
      <c r="I2397" s="24"/>
      <c r="J2397" s="32"/>
      <c r="K2397" s="64"/>
      <c r="L2397" s="32"/>
      <c r="M2397" s="10"/>
      <c r="N2397" s="33">
        <v>25.52</v>
      </c>
      <c r="O2397" s="58">
        <f>ROUND(PRODUCT(J2397:N2397),2)</f>
        <v>25.52</v>
      </c>
    </row>
    <row r="2398" spans="1:17" ht="45" hidden="1" outlineLevel="1">
      <c r="A2398" s="2">
        <v>6</v>
      </c>
      <c r="B2398" s="2">
        <v>12</v>
      </c>
      <c r="C2398" s="2">
        <v>2</v>
      </c>
      <c r="D2398" s="2" t="e">
        <f>1+#REF!</f>
        <v>#REF!</v>
      </c>
      <c r="E2398" s="20" t="e">
        <f>CONCATENATE(A2398,".",B2398,".",C2398,".",D2398)</f>
        <v>#REF!</v>
      </c>
      <c r="F2398" s="21" t="s">
        <v>3908</v>
      </c>
      <c r="G2398" s="22">
        <v>89726</v>
      </c>
      <c r="H2398" s="23" t="s">
        <v>770</v>
      </c>
      <c r="I2398" s="24" t="s">
        <v>36</v>
      </c>
      <c r="J2398" s="32"/>
      <c r="K2398" s="10"/>
      <c r="L2398" s="32"/>
      <c r="M2398" s="10"/>
      <c r="N2398" s="33"/>
      <c r="O2398" s="11">
        <f>SUM(O2399)</f>
        <v>7</v>
      </c>
    </row>
    <row r="2399" spans="1:17" hidden="1" outlineLevel="2">
      <c r="E2399" s="29"/>
      <c r="F2399" s="21"/>
      <c r="G2399" s="22"/>
      <c r="H2399" s="23"/>
      <c r="I2399" s="24"/>
      <c r="J2399" s="32"/>
      <c r="K2399" s="64"/>
      <c r="L2399" s="32"/>
      <c r="M2399" s="10"/>
      <c r="N2399" s="33">
        <v>7</v>
      </c>
      <c r="O2399" s="58">
        <f>ROUND(PRODUCT(J2399:N2399),2)</f>
        <v>7</v>
      </c>
    </row>
    <row r="2400" spans="1:17" ht="45" hidden="1" outlineLevel="1">
      <c r="A2400" s="2">
        <v>6</v>
      </c>
      <c r="B2400" s="2">
        <v>12</v>
      </c>
      <c r="C2400" s="2">
        <v>2</v>
      </c>
      <c r="D2400" s="2" t="e">
        <f>1+D2398</f>
        <v>#REF!</v>
      </c>
      <c r="E2400" s="20" t="e">
        <f>CONCATENATE(A2400,".",B2400,".",C2400,".",D2400)</f>
        <v>#REF!</v>
      </c>
      <c r="F2400" s="21" t="s">
        <v>3909</v>
      </c>
      <c r="G2400" s="22">
        <v>89732</v>
      </c>
      <c r="H2400" s="23" t="s">
        <v>1120</v>
      </c>
      <c r="I2400" s="24" t="s">
        <v>36</v>
      </c>
      <c r="J2400" s="32"/>
      <c r="K2400" s="10"/>
      <c r="L2400" s="32"/>
      <c r="M2400" s="10"/>
      <c r="N2400" s="33"/>
      <c r="O2400" s="11">
        <f>SUM(O2401)</f>
        <v>4</v>
      </c>
    </row>
    <row r="2401" spans="1:15" hidden="1" outlineLevel="2">
      <c r="E2401" s="29"/>
      <c r="F2401" s="21"/>
      <c r="G2401" s="22"/>
      <c r="H2401" s="23"/>
      <c r="I2401" s="24"/>
      <c r="J2401" s="32"/>
      <c r="K2401" s="64"/>
      <c r="L2401" s="32"/>
      <c r="M2401" s="10"/>
      <c r="N2401" s="33">
        <v>4</v>
      </c>
      <c r="O2401" s="58">
        <f>ROUND(PRODUCT(J2401:N2401),2)</f>
        <v>4</v>
      </c>
    </row>
    <row r="2402" spans="1:15" ht="45" hidden="1" outlineLevel="1">
      <c r="A2402" s="2">
        <v>6</v>
      </c>
      <c r="B2402" s="2">
        <v>12</v>
      </c>
      <c r="C2402" s="2">
        <v>2</v>
      </c>
      <c r="D2402" s="2" t="e">
        <f>1+D2400</f>
        <v>#REF!</v>
      </c>
      <c r="E2402" s="20" t="e">
        <f>CONCATENATE(A2402,".",B2402,".",C2402,".",D2402)</f>
        <v>#REF!</v>
      </c>
      <c r="F2402" s="21" t="s">
        <v>3910</v>
      </c>
      <c r="G2402" s="22">
        <v>89746</v>
      </c>
      <c r="H2402" s="23" t="s">
        <v>773</v>
      </c>
      <c r="I2402" s="24" t="s">
        <v>36</v>
      </c>
      <c r="J2402" s="32"/>
      <c r="K2402" s="10"/>
      <c r="L2402" s="32"/>
      <c r="M2402" s="10"/>
      <c r="N2402" s="33"/>
      <c r="O2402" s="11">
        <f>SUM(O2403)</f>
        <v>8</v>
      </c>
    </row>
    <row r="2403" spans="1:15" hidden="1" outlineLevel="2">
      <c r="E2403" s="29"/>
      <c r="F2403" s="21"/>
      <c r="G2403" s="22"/>
      <c r="H2403" s="23"/>
      <c r="I2403" s="24"/>
      <c r="J2403" s="32"/>
      <c r="K2403" s="64"/>
      <c r="L2403" s="32"/>
      <c r="M2403" s="10"/>
      <c r="N2403" s="33">
        <v>8</v>
      </c>
      <c r="O2403" s="58">
        <f>ROUND(PRODUCT(J2403:N2403),2)</f>
        <v>8</v>
      </c>
    </row>
    <row r="2404" spans="1:15" ht="45" hidden="1" outlineLevel="1">
      <c r="A2404" s="2">
        <v>6</v>
      </c>
      <c r="B2404" s="2">
        <v>12</v>
      </c>
      <c r="C2404" s="2">
        <v>2</v>
      </c>
      <c r="D2404" s="2" t="e">
        <f>1+D2402</f>
        <v>#REF!</v>
      </c>
      <c r="E2404" s="20" t="e">
        <f>CONCATENATE(A2404,".",B2404,".",C2404,".",D2404)</f>
        <v>#REF!</v>
      </c>
      <c r="F2404" s="21" t="s">
        <v>3911</v>
      </c>
      <c r="G2404" s="22">
        <v>89724</v>
      </c>
      <c r="H2404" s="23" t="s">
        <v>812</v>
      </c>
      <c r="I2404" s="24" t="s">
        <v>36</v>
      </c>
      <c r="J2404" s="32"/>
      <c r="K2404" s="10"/>
      <c r="L2404" s="32"/>
      <c r="M2404" s="10"/>
      <c r="N2404" s="33"/>
      <c r="O2404" s="11">
        <f>SUM(O2405)</f>
        <v>34</v>
      </c>
    </row>
    <row r="2405" spans="1:15" hidden="1" outlineLevel="2">
      <c r="E2405" s="29"/>
      <c r="F2405" s="21"/>
      <c r="G2405" s="22"/>
      <c r="H2405" s="23"/>
      <c r="I2405" s="24"/>
      <c r="J2405" s="32"/>
      <c r="K2405" s="64"/>
      <c r="L2405" s="32"/>
      <c r="M2405" s="10"/>
      <c r="N2405" s="33">
        <v>34</v>
      </c>
      <c r="O2405" s="58">
        <f>ROUND(PRODUCT(J2405:N2405),2)</f>
        <v>34</v>
      </c>
    </row>
    <row r="2406" spans="1:15" ht="45" hidden="1" outlineLevel="1">
      <c r="A2406" s="2">
        <v>6</v>
      </c>
      <c r="B2406" s="2">
        <v>12</v>
      </c>
      <c r="C2406" s="2">
        <v>2</v>
      </c>
      <c r="D2406" s="2" t="e">
        <f>1+D2404</f>
        <v>#REF!</v>
      </c>
      <c r="E2406" s="20" t="e">
        <f>CONCATENATE(A2406,".",B2406,".",C2406,".",D2406)</f>
        <v>#REF!</v>
      </c>
      <c r="F2406" s="21" t="s">
        <v>3912</v>
      </c>
      <c r="G2406" s="22">
        <v>89731</v>
      </c>
      <c r="H2406" s="23" t="s">
        <v>782</v>
      </c>
      <c r="I2406" s="24" t="s">
        <v>36</v>
      </c>
      <c r="J2406" s="32"/>
      <c r="K2406" s="10"/>
      <c r="L2406" s="32"/>
      <c r="M2406" s="10"/>
      <c r="N2406" s="33"/>
      <c r="O2406" s="11">
        <f>SUM(O2407)</f>
        <v>38</v>
      </c>
    </row>
    <row r="2407" spans="1:15" hidden="1" outlineLevel="2">
      <c r="E2407" s="29"/>
      <c r="F2407" s="21"/>
      <c r="G2407" s="22"/>
      <c r="H2407" s="23"/>
      <c r="I2407" s="24"/>
      <c r="J2407" s="32"/>
      <c r="K2407" s="64"/>
      <c r="L2407" s="32"/>
      <c r="M2407" s="10"/>
      <c r="N2407" s="33">
        <v>38</v>
      </c>
      <c r="O2407" s="58">
        <f>ROUND(PRODUCT(J2407:N2407),2)</f>
        <v>38</v>
      </c>
    </row>
    <row r="2408" spans="1:15" ht="45" hidden="1" outlineLevel="1">
      <c r="A2408" s="2">
        <v>6</v>
      </c>
      <c r="B2408" s="2">
        <v>12</v>
      </c>
      <c r="C2408" s="2">
        <v>2</v>
      </c>
      <c r="D2408" s="2" t="e">
        <f>1+D2406</f>
        <v>#REF!</v>
      </c>
      <c r="E2408" s="20" t="e">
        <f>CONCATENATE(A2408,".",B2408,".",C2408,".",D2408)</f>
        <v>#REF!</v>
      </c>
      <c r="F2408" s="21" t="s">
        <v>3913</v>
      </c>
      <c r="G2408" s="22">
        <v>89737</v>
      </c>
      <c r="H2408" s="23" t="s">
        <v>1126</v>
      </c>
      <c r="I2408" s="24" t="s">
        <v>36</v>
      </c>
      <c r="J2408" s="32"/>
      <c r="K2408" s="10"/>
      <c r="L2408" s="32"/>
      <c r="M2408" s="10"/>
      <c r="N2408" s="33"/>
      <c r="O2408" s="11">
        <f>SUM(O2409)</f>
        <v>16</v>
      </c>
    </row>
    <row r="2409" spans="1:15" hidden="1" outlineLevel="2">
      <c r="E2409" s="29"/>
      <c r="F2409" s="21"/>
      <c r="G2409" s="22"/>
      <c r="H2409" s="23"/>
      <c r="I2409" s="24"/>
      <c r="J2409" s="32"/>
      <c r="K2409" s="64"/>
      <c r="L2409" s="32"/>
      <c r="M2409" s="10"/>
      <c r="N2409" s="33">
        <v>16</v>
      </c>
      <c r="O2409" s="58">
        <f>ROUND(PRODUCT(J2409:N2409),2)</f>
        <v>16</v>
      </c>
    </row>
    <row r="2410" spans="1:15" ht="45" hidden="1" outlineLevel="1">
      <c r="A2410" s="2">
        <v>6</v>
      </c>
      <c r="B2410" s="2">
        <v>12</v>
      </c>
      <c r="C2410" s="2">
        <v>2</v>
      </c>
      <c r="D2410" s="2" t="e">
        <f>1+D2408</f>
        <v>#REF!</v>
      </c>
      <c r="E2410" s="20" t="e">
        <f>CONCATENATE(A2410,".",B2410,".",C2410,".",D2410)</f>
        <v>#REF!</v>
      </c>
      <c r="F2410" s="21" t="s">
        <v>3914</v>
      </c>
      <c r="G2410" s="22">
        <v>89850</v>
      </c>
      <c r="H2410" s="23" t="s">
        <v>815</v>
      </c>
      <c r="I2410" s="24" t="s">
        <v>36</v>
      </c>
      <c r="J2410" s="32"/>
      <c r="K2410" s="10"/>
      <c r="L2410" s="32"/>
      <c r="M2410" s="10"/>
      <c r="N2410" s="33"/>
      <c r="O2410" s="11">
        <f>SUM(O2411)</f>
        <v>8</v>
      </c>
    </row>
    <row r="2411" spans="1:15" hidden="1" outlineLevel="2">
      <c r="E2411" s="29"/>
      <c r="F2411" s="21"/>
      <c r="G2411" s="22"/>
      <c r="H2411" s="23"/>
      <c r="I2411" s="24"/>
      <c r="J2411" s="32"/>
      <c r="K2411" s="64"/>
      <c r="L2411" s="32"/>
      <c r="M2411" s="10"/>
      <c r="N2411" s="33">
        <v>8</v>
      </c>
      <c r="O2411" s="58">
        <f>ROUND(PRODUCT(J2411:N2411),2)</f>
        <v>8</v>
      </c>
    </row>
    <row r="2412" spans="1:15" ht="44.25" hidden="1" customHeight="1" outlineLevel="1">
      <c r="A2412" s="2">
        <v>6</v>
      </c>
      <c r="B2412" s="2">
        <v>12</v>
      </c>
      <c r="C2412" s="2">
        <v>2</v>
      </c>
      <c r="D2412" s="2" t="e">
        <f>1+D2410</f>
        <v>#REF!</v>
      </c>
      <c r="E2412" s="20" t="e">
        <f>CONCATENATE(A2412,".",B2412,".",C2412,".",D2412)</f>
        <v>#REF!</v>
      </c>
      <c r="F2412" s="21" t="s">
        <v>3915</v>
      </c>
      <c r="G2412" s="22">
        <v>104347</v>
      </c>
      <c r="H2412" s="23" t="s">
        <v>1130</v>
      </c>
      <c r="I2412" s="24" t="s">
        <v>36</v>
      </c>
      <c r="J2412" s="32"/>
      <c r="K2412" s="10"/>
      <c r="L2412" s="32"/>
      <c r="M2412" s="10"/>
      <c r="N2412" s="33"/>
      <c r="O2412" s="11">
        <f>SUM(O2413)</f>
        <v>8</v>
      </c>
    </row>
    <row r="2413" spans="1:15" hidden="1" outlineLevel="2">
      <c r="E2413" s="29"/>
      <c r="F2413" s="21"/>
      <c r="G2413" s="22"/>
      <c r="H2413" s="23"/>
      <c r="I2413" s="24"/>
      <c r="J2413" s="32"/>
      <c r="K2413" s="64"/>
      <c r="L2413" s="32"/>
      <c r="M2413" s="10"/>
      <c r="N2413" s="33">
        <v>8</v>
      </c>
      <c r="O2413" s="58">
        <f>ROUND(PRODUCT(J2413:N2413),2)</f>
        <v>8</v>
      </c>
    </row>
    <row r="2414" spans="1:15" ht="45" hidden="1" outlineLevel="1">
      <c r="A2414" s="2">
        <v>6</v>
      </c>
      <c r="B2414" s="2">
        <v>12</v>
      </c>
      <c r="C2414" s="2">
        <v>2</v>
      </c>
      <c r="D2414" s="2" t="e">
        <f>1+D2412</f>
        <v>#REF!</v>
      </c>
      <c r="E2414" s="20" t="e">
        <f>CONCATENATE(A2414,".",B2414,".",C2414,".",D2414)</f>
        <v>#REF!</v>
      </c>
      <c r="F2414" s="21" t="s">
        <v>3916</v>
      </c>
      <c r="G2414" s="22">
        <v>89834</v>
      </c>
      <c r="H2414" s="23" t="s">
        <v>1133</v>
      </c>
      <c r="I2414" s="24" t="s">
        <v>36</v>
      </c>
      <c r="J2414" s="32"/>
      <c r="K2414" s="10"/>
      <c r="L2414" s="32"/>
      <c r="M2414" s="10"/>
      <c r="N2414" s="33"/>
      <c r="O2414" s="11">
        <f>SUM(O2415)</f>
        <v>7</v>
      </c>
    </row>
    <row r="2415" spans="1:15" hidden="1" outlineLevel="2">
      <c r="E2415" s="29"/>
      <c r="F2415" s="21"/>
      <c r="G2415" s="22"/>
      <c r="H2415" s="23"/>
      <c r="I2415" s="24"/>
      <c r="J2415" s="32"/>
      <c r="K2415" s="64"/>
      <c r="L2415" s="32"/>
      <c r="M2415" s="10"/>
      <c r="N2415" s="33">
        <v>7</v>
      </c>
      <c r="O2415" s="58">
        <f>ROUND(PRODUCT(J2415:N2415),2)</f>
        <v>7</v>
      </c>
    </row>
    <row r="2416" spans="1:15" ht="46.5" hidden="1" customHeight="1" outlineLevel="1">
      <c r="A2416" s="2">
        <v>6</v>
      </c>
      <c r="B2416" s="2">
        <v>12</v>
      </c>
      <c r="C2416" s="2">
        <v>2</v>
      </c>
      <c r="D2416" s="2" t="e">
        <f>1+D2414</f>
        <v>#REF!</v>
      </c>
      <c r="E2416" s="20" t="e">
        <f>CONCATENATE(A2416,".",B2416,".",C2416,".",D2416)</f>
        <v>#REF!</v>
      </c>
      <c r="F2416" s="21" t="s">
        <v>3917</v>
      </c>
      <c r="G2416" s="22">
        <v>104345</v>
      </c>
      <c r="H2416" s="23" t="s">
        <v>794</v>
      </c>
      <c r="I2416" s="24" t="s">
        <v>36</v>
      </c>
      <c r="J2416" s="32"/>
      <c r="K2416" s="10"/>
      <c r="L2416" s="32"/>
      <c r="M2416" s="10"/>
      <c r="N2416" s="33"/>
      <c r="O2416" s="11">
        <f>SUM(O2417)</f>
        <v>10</v>
      </c>
    </row>
    <row r="2417" spans="1:16" hidden="1" outlineLevel="2">
      <c r="E2417" s="29"/>
      <c r="F2417" s="21"/>
      <c r="G2417" s="22"/>
      <c r="H2417" s="23"/>
      <c r="I2417" s="24"/>
      <c r="J2417" s="32"/>
      <c r="K2417" s="64"/>
      <c r="L2417" s="32"/>
      <c r="M2417" s="10"/>
      <c r="N2417" s="33">
        <v>10</v>
      </c>
      <c r="O2417" s="58">
        <f>ROUND(PRODUCT(J2417:N2417),2)</f>
        <v>10</v>
      </c>
    </row>
    <row r="2418" spans="1:16" ht="45" hidden="1" outlineLevel="1">
      <c r="A2418" s="2">
        <v>6</v>
      </c>
      <c r="B2418" s="2">
        <v>12</v>
      </c>
      <c r="C2418" s="2">
        <v>2</v>
      </c>
      <c r="D2418" s="2" t="e">
        <f>1+#REF!</f>
        <v>#REF!</v>
      </c>
      <c r="E2418" s="20" t="e">
        <f>CONCATENATE(A2418,".",B2418,".",C2418,".",D2418)</f>
        <v>#REF!</v>
      </c>
      <c r="F2418" s="21" t="s">
        <v>3918</v>
      </c>
      <c r="G2418" s="22">
        <v>104354</v>
      </c>
      <c r="H2418" s="23" t="s">
        <v>1137</v>
      </c>
      <c r="I2418" s="24" t="s">
        <v>36</v>
      </c>
      <c r="J2418" s="32"/>
      <c r="K2418" s="10"/>
      <c r="L2418" s="32"/>
      <c r="M2418" s="10"/>
      <c r="N2418" s="33"/>
      <c r="O2418" s="11">
        <f>SUM(O2419)</f>
        <v>1</v>
      </c>
    </row>
    <row r="2419" spans="1:16" hidden="1" outlineLevel="2">
      <c r="E2419" s="29"/>
      <c r="F2419" s="21"/>
      <c r="G2419" s="22"/>
      <c r="H2419" s="23"/>
      <c r="I2419" s="24"/>
      <c r="J2419" s="32"/>
      <c r="K2419" s="64"/>
      <c r="L2419" s="32"/>
      <c r="M2419" s="10"/>
      <c r="N2419" s="33">
        <v>1</v>
      </c>
      <c r="O2419" s="58">
        <f>ROUND(PRODUCT(J2419:N2419),2)</f>
        <v>1</v>
      </c>
    </row>
    <row r="2420" spans="1:16" ht="45" hidden="1" outlineLevel="1">
      <c r="A2420" s="2">
        <v>6</v>
      </c>
      <c r="B2420" s="2">
        <v>12</v>
      </c>
      <c r="C2420" s="2">
        <v>2</v>
      </c>
      <c r="D2420" s="2" t="e">
        <f>1+D2418</f>
        <v>#REF!</v>
      </c>
      <c r="E2420" s="20" t="e">
        <f>CONCATENATE(A2420,".",B2420,".",C2420,".",D2420)</f>
        <v>#REF!</v>
      </c>
      <c r="F2420" s="21" t="s">
        <v>3919</v>
      </c>
      <c r="G2420" s="22">
        <v>104352</v>
      </c>
      <c r="H2420" s="23" t="s">
        <v>809</v>
      </c>
      <c r="I2420" s="24" t="s">
        <v>36</v>
      </c>
      <c r="J2420" s="32"/>
      <c r="K2420" s="10"/>
      <c r="L2420" s="32"/>
      <c r="M2420" s="10"/>
      <c r="N2420" s="33"/>
      <c r="O2420" s="11">
        <f>SUM(O2421)</f>
        <v>5</v>
      </c>
    </row>
    <row r="2421" spans="1:16" hidden="1" outlineLevel="2">
      <c r="E2421" s="29"/>
      <c r="F2421" s="21"/>
      <c r="G2421" s="22"/>
      <c r="H2421" s="23"/>
      <c r="I2421" s="24"/>
      <c r="J2421" s="32"/>
      <c r="K2421" s="64"/>
      <c r="L2421" s="32"/>
      <c r="M2421" s="10"/>
      <c r="N2421" s="33">
        <v>5</v>
      </c>
      <c r="O2421" s="58">
        <f>ROUND(PRODUCT(J2421:N2421),2)</f>
        <v>5</v>
      </c>
    </row>
    <row r="2422" spans="1:16" ht="45" hidden="1" outlineLevel="1">
      <c r="A2422" s="2">
        <v>6</v>
      </c>
      <c r="B2422" s="2">
        <v>12</v>
      </c>
      <c r="C2422" s="2">
        <v>2</v>
      </c>
      <c r="D2422" s="2" t="e">
        <f>1+D2420</f>
        <v>#REF!</v>
      </c>
      <c r="E2422" s="20" t="e">
        <f>CONCATENATE(A2422,".",B2422,".",C2422,".",D2422)</f>
        <v>#REF!</v>
      </c>
      <c r="F2422" s="21" t="s">
        <v>3920</v>
      </c>
      <c r="G2422" s="22">
        <v>89825</v>
      </c>
      <c r="H2422" s="23" t="s">
        <v>806</v>
      </c>
      <c r="I2422" s="24" t="s">
        <v>36</v>
      </c>
      <c r="J2422" s="32"/>
      <c r="K2422" s="10"/>
      <c r="L2422" s="32"/>
      <c r="M2422" s="10"/>
      <c r="N2422" s="33"/>
      <c r="O2422" s="11">
        <f>SUM(O2423)</f>
        <v>23</v>
      </c>
    </row>
    <row r="2423" spans="1:16" hidden="1" outlineLevel="2">
      <c r="E2423" s="29"/>
      <c r="F2423" s="21"/>
      <c r="G2423" s="22"/>
      <c r="H2423" s="23"/>
      <c r="I2423" s="24"/>
      <c r="J2423" s="32"/>
      <c r="K2423" s="64"/>
      <c r="L2423" s="32"/>
      <c r="M2423" s="10"/>
      <c r="N2423" s="33">
        <v>23</v>
      </c>
      <c r="O2423" s="58">
        <f>ROUND(PRODUCT(J2423:N2423),2)</f>
        <v>23</v>
      </c>
    </row>
    <row r="2424" spans="1:16" ht="45" hidden="1" outlineLevel="1">
      <c r="A2424" s="2">
        <v>6</v>
      </c>
      <c r="B2424" s="2">
        <v>12</v>
      </c>
      <c r="C2424" s="2">
        <v>2</v>
      </c>
      <c r="D2424" s="2" t="e">
        <f>1+#REF!</f>
        <v>#REF!</v>
      </c>
      <c r="E2424" s="20" t="e">
        <f>CONCATENATE(A2424,".",B2424,".",C2424,".",D2424)</f>
        <v>#REF!</v>
      </c>
      <c r="F2424" s="21" t="s">
        <v>3921</v>
      </c>
      <c r="G2424" s="22">
        <v>104348</v>
      </c>
      <c r="H2424" s="23" t="s">
        <v>800</v>
      </c>
      <c r="I2424" s="24" t="s">
        <v>36</v>
      </c>
      <c r="J2424" s="32"/>
      <c r="K2424" s="10"/>
      <c r="L2424" s="32"/>
      <c r="M2424" s="10"/>
      <c r="N2424" s="33"/>
      <c r="O2424" s="11">
        <f>SUM(O2425)</f>
        <v>6</v>
      </c>
      <c r="P2424" s="185"/>
    </row>
    <row r="2425" spans="1:16" hidden="1" outlineLevel="2">
      <c r="E2425" s="29"/>
      <c r="F2425" s="21"/>
      <c r="G2425" s="22"/>
      <c r="H2425" s="23"/>
      <c r="I2425" s="24"/>
      <c r="J2425" s="32"/>
      <c r="K2425" s="64"/>
      <c r="L2425" s="32"/>
      <c r="M2425" s="10"/>
      <c r="N2425" s="33">
        <v>6</v>
      </c>
      <c r="O2425" s="58">
        <f>ROUND(PRODUCT(J2425:N2425),2)</f>
        <v>6</v>
      </c>
    </row>
    <row r="2426" spans="1:16" ht="45" hidden="1" outlineLevel="1">
      <c r="A2426" s="2">
        <v>6</v>
      </c>
      <c r="B2426" s="2">
        <v>12</v>
      </c>
      <c r="C2426" s="2">
        <v>2</v>
      </c>
      <c r="D2426" s="2" t="e">
        <f>1+D2424</f>
        <v>#REF!</v>
      </c>
      <c r="E2426" s="20" t="e">
        <f>CONCATENATE(A2426,".",B2426,".",C2426,".",D2426)</f>
        <v>#REF!</v>
      </c>
      <c r="F2426" s="21" t="s">
        <v>3922</v>
      </c>
      <c r="G2426" s="22">
        <v>1055</v>
      </c>
      <c r="H2426" s="23" t="s">
        <v>827</v>
      </c>
      <c r="I2426" s="24" t="s">
        <v>36</v>
      </c>
      <c r="J2426" s="32"/>
      <c r="K2426" s="10"/>
      <c r="L2426" s="32"/>
      <c r="M2426" s="10"/>
      <c r="N2426" s="33"/>
      <c r="O2426" s="11">
        <f>SUM(O2427)</f>
        <v>12</v>
      </c>
      <c r="P2426" s="185"/>
    </row>
    <row r="2427" spans="1:16" hidden="1" outlineLevel="2">
      <c r="E2427" s="29"/>
      <c r="F2427" s="21"/>
      <c r="G2427" s="22"/>
      <c r="H2427" s="23"/>
      <c r="I2427" s="24"/>
      <c r="J2427" s="32"/>
      <c r="K2427" s="64"/>
      <c r="L2427" s="32"/>
      <c r="M2427" s="10"/>
      <c r="N2427" s="33">
        <v>12</v>
      </c>
      <c r="O2427" s="58">
        <f>ROUND(PRODUCT(J2427:N2427),2)</f>
        <v>12</v>
      </c>
    </row>
    <row r="2428" spans="1:16" hidden="1" outlineLevel="1">
      <c r="A2428" s="2">
        <v>6</v>
      </c>
      <c r="B2428" s="2">
        <v>12</v>
      </c>
      <c r="C2428" s="2">
        <v>2</v>
      </c>
      <c r="D2428" s="2" t="e">
        <f>1+D2426</f>
        <v>#REF!</v>
      </c>
      <c r="E2428" s="20" t="e">
        <f>CONCATENATE(A2428,".",B2428,".",C2428,".",D2428)</f>
        <v>#REF!</v>
      </c>
      <c r="F2428" s="21" t="s">
        <v>3923</v>
      </c>
      <c r="G2428" s="22">
        <v>2351</v>
      </c>
      <c r="H2428" s="23" t="s">
        <v>833</v>
      </c>
      <c r="I2428" s="24" t="s">
        <v>36</v>
      </c>
      <c r="J2428" s="32"/>
      <c r="K2428" s="10"/>
      <c r="L2428" s="32"/>
      <c r="M2428" s="10"/>
      <c r="N2428" s="33"/>
      <c r="O2428" s="11">
        <f>SUM(O2429)</f>
        <v>8</v>
      </c>
      <c r="P2428" s="185"/>
    </row>
    <row r="2429" spans="1:16" hidden="1" outlineLevel="2">
      <c r="E2429" s="29"/>
      <c r="F2429" s="21"/>
      <c r="G2429" s="22"/>
      <c r="H2429" s="23"/>
      <c r="I2429" s="24"/>
      <c r="J2429" s="32"/>
      <c r="K2429" s="64"/>
      <c r="L2429" s="32"/>
      <c r="M2429" s="10"/>
      <c r="N2429" s="33">
        <v>8</v>
      </c>
      <c r="O2429" s="58">
        <f>ROUND(PRODUCT(J2429:N2429),2)</f>
        <v>8</v>
      </c>
    </row>
    <row r="2430" spans="1:16" collapsed="1">
      <c r="A2430" s="2">
        <v>6</v>
      </c>
      <c r="B2430" s="2">
        <v>12</v>
      </c>
      <c r="C2430" s="2">
        <v>3</v>
      </c>
      <c r="E2430" s="52" t="s">
        <v>3924</v>
      </c>
      <c r="F2430" s="53" t="s">
        <v>3924</v>
      </c>
      <c r="G2430" s="13"/>
      <c r="H2430" s="14" t="s">
        <v>375</v>
      </c>
      <c r="I2430" s="15"/>
      <c r="J2430" s="16"/>
      <c r="K2430" s="17"/>
      <c r="L2430" s="16"/>
      <c r="M2430" s="17"/>
      <c r="N2430" s="18"/>
      <c r="O2430" s="19"/>
    </row>
    <row r="2431" spans="1:16" ht="30" hidden="1" outlineLevel="1">
      <c r="A2431" s="2">
        <v>6</v>
      </c>
      <c r="B2431" s="2">
        <v>12</v>
      </c>
      <c r="C2431" s="2">
        <v>3</v>
      </c>
      <c r="D2431" s="2">
        <v>1</v>
      </c>
      <c r="E2431" s="66" t="str">
        <f>CONCATENATE(A2431,".",B2431,".",C2431,".",D2431)</f>
        <v>6.12.3.1</v>
      </c>
      <c r="F2431" s="21" t="s">
        <v>3925</v>
      </c>
      <c r="G2431" s="22">
        <v>86888</v>
      </c>
      <c r="H2431" s="23" t="s">
        <v>378</v>
      </c>
      <c r="I2431" s="24" t="s">
        <v>36</v>
      </c>
      <c r="J2431" s="32"/>
      <c r="K2431" s="10"/>
      <c r="L2431" s="32"/>
      <c r="M2431" s="10"/>
      <c r="N2431" s="33"/>
      <c r="O2431" s="11">
        <f>SUM(O2432:O2432)</f>
        <v>8</v>
      </c>
    </row>
    <row r="2432" spans="1:16" hidden="1" outlineLevel="1">
      <c r="E2432" s="29"/>
      <c r="F2432" s="21"/>
      <c r="G2432" s="22"/>
      <c r="H2432" s="30"/>
      <c r="I2432" s="24"/>
      <c r="J2432" s="32"/>
      <c r="K2432" s="64"/>
      <c r="L2432" s="32"/>
      <c r="M2432" s="10"/>
      <c r="N2432" s="33">
        <v>8</v>
      </c>
      <c r="O2432" s="58">
        <f>ROUND(PRODUCT(J2432:N2432),2)</f>
        <v>8</v>
      </c>
    </row>
    <row r="2433" spans="1:15" ht="45" hidden="1" outlineLevel="1">
      <c r="A2433" s="2">
        <v>6</v>
      </c>
      <c r="B2433" s="2">
        <v>12</v>
      </c>
      <c r="C2433" s="2">
        <v>3</v>
      </c>
      <c r="D2433" s="2">
        <f>1+D2431</f>
        <v>2</v>
      </c>
      <c r="E2433" s="66" t="str">
        <f>CONCATENATE(A2433,".",B2433,".",C2433,".",D2433)</f>
        <v>6.12.3.2</v>
      </c>
      <c r="F2433" s="21" t="s">
        <v>3926</v>
      </c>
      <c r="G2433" s="22">
        <v>410</v>
      </c>
      <c r="H2433" s="23" t="s">
        <v>3317</v>
      </c>
      <c r="I2433" s="24" t="s">
        <v>36</v>
      </c>
      <c r="J2433" s="32"/>
      <c r="K2433" s="10"/>
      <c r="L2433" s="32"/>
      <c r="M2433" s="10"/>
      <c r="N2433" s="33"/>
      <c r="O2433" s="11">
        <f>SUM(O2434:O2434)</f>
        <v>2</v>
      </c>
    </row>
    <row r="2434" spans="1:15" hidden="1" outlineLevel="1">
      <c r="E2434" s="29"/>
      <c r="F2434" s="21"/>
      <c r="G2434" s="22"/>
      <c r="H2434" s="30"/>
      <c r="I2434" s="35"/>
      <c r="J2434" s="41"/>
      <c r="K2434" s="64"/>
      <c r="L2434" s="41"/>
      <c r="M2434" s="33"/>
      <c r="N2434" s="33">
        <v>2</v>
      </c>
      <c r="O2434" s="58">
        <f>ROUND(PRODUCT(J2434:N2434),2)</f>
        <v>2</v>
      </c>
    </row>
    <row r="2435" spans="1:15" hidden="1" outlineLevel="1">
      <c r="A2435" s="2">
        <v>6</v>
      </c>
      <c r="B2435" s="2">
        <v>12</v>
      </c>
      <c r="C2435" s="2">
        <v>3</v>
      </c>
      <c r="D2435" s="2">
        <f>1+D2433</f>
        <v>3</v>
      </c>
      <c r="E2435" s="20" t="str">
        <f>CONCATENATE(A2435,".",B2435,".",C2435,".",D2435)</f>
        <v>6.12.3.3</v>
      </c>
      <c r="F2435" s="21" t="s">
        <v>3927</v>
      </c>
      <c r="G2435" s="22" t="s">
        <v>383</v>
      </c>
      <c r="H2435" s="23" t="s">
        <v>384</v>
      </c>
      <c r="I2435" s="24" t="s">
        <v>36</v>
      </c>
      <c r="J2435" s="32"/>
      <c r="K2435" s="10"/>
      <c r="L2435" s="32"/>
      <c r="M2435" s="10"/>
      <c r="N2435" s="33"/>
      <c r="O2435" s="11">
        <f>SUM(O2436:O2436)</f>
        <v>8</v>
      </c>
    </row>
    <row r="2436" spans="1:15" hidden="1" outlineLevel="1">
      <c r="E2436" s="29"/>
      <c r="F2436" s="21"/>
      <c r="G2436" s="22"/>
      <c r="H2436" s="30"/>
      <c r="I2436" s="35"/>
      <c r="J2436" s="41"/>
      <c r="K2436" s="64"/>
      <c r="L2436" s="41"/>
      <c r="M2436" s="33"/>
      <c r="N2436" s="33">
        <v>8</v>
      </c>
      <c r="O2436" s="58">
        <f>ROUND(PRODUCT(J2436:N2436),2)</f>
        <v>8</v>
      </c>
    </row>
    <row r="2437" spans="1:15" ht="30" hidden="1" outlineLevel="1">
      <c r="A2437" s="2">
        <v>6</v>
      </c>
      <c r="B2437" s="2">
        <v>12</v>
      </c>
      <c r="C2437" s="2">
        <v>3</v>
      </c>
      <c r="D2437" s="2">
        <f>1+D2435</f>
        <v>4</v>
      </c>
      <c r="E2437" s="20" t="str">
        <f>CONCATENATE(A2437,".",B2437,".",C2437,".",D2437)</f>
        <v>6.12.3.4</v>
      </c>
      <c r="F2437" s="21" t="s">
        <v>3928</v>
      </c>
      <c r="G2437" s="22">
        <v>100860</v>
      </c>
      <c r="H2437" s="23" t="s">
        <v>387</v>
      </c>
      <c r="I2437" s="24" t="s">
        <v>36</v>
      </c>
      <c r="J2437" s="32"/>
      <c r="K2437" s="10"/>
      <c r="L2437" s="32"/>
      <c r="M2437" s="10"/>
      <c r="N2437" s="33"/>
      <c r="O2437" s="11">
        <f>SUM(O2438:O2438)</f>
        <v>4</v>
      </c>
    </row>
    <row r="2438" spans="1:15" hidden="1" outlineLevel="1">
      <c r="E2438" s="29"/>
      <c r="F2438" s="21"/>
      <c r="G2438" s="22"/>
      <c r="H2438" s="30"/>
      <c r="I2438" s="35"/>
      <c r="J2438" s="41"/>
      <c r="K2438" s="64"/>
      <c r="L2438" s="41"/>
      <c r="M2438" s="33"/>
      <c r="N2438" s="33">
        <v>4</v>
      </c>
      <c r="O2438" s="58">
        <f>ROUND(PRODUCT(J2438:N2438),2)</f>
        <v>4</v>
      </c>
    </row>
    <row r="2439" spans="1:15" ht="45" hidden="1" outlineLevel="1">
      <c r="A2439" s="2">
        <v>6</v>
      </c>
      <c r="B2439" s="2">
        <v>12</v>
      </c>
      <c r="C2439" s="2">
        <v>3</v>
      </c>
      <c r="D2439" s="2">
        <f>1+D2437</f>
        <v>5</v>
      </c>
      <c r="E2439" s="20" t="str">
        <f>CONCATENATE(A2439,".",B2439,".",C2439,".",D2439)</f>
        <v>6.12.3.5</v>
      </c>
      <c r="F2439" s="21" t="s">
        <v>3929</v>
      </c>
      <c r="G2439" s="22">
        <v>86937</v>
      </c>
      <c r="H2439" s="23" t="s">
        <v>1060</v>
      </c>
      <c r="I2439" s="24" t="s">
        <v>36</v>
      </c>
      <c r="J2439" s="32"/>
      <c r="K2439" s="10"/>
      <c r="L2439" s="32"/>
      <c r="M2439" s="10"/>
      <c r="N2439" s="33"/>
      <c r="O2439" s="11">
        <f>SUM(O2440:O2440)</f>
        <v>9</v>
      </c>
    </row>
    <row r="2440" spans="1:15" hidden="1" outlineLevel="1">
      <c r="E2440" s="29"/>
      <c r="F2440" s="21"/>
      <c r="G2440" s="22"/>
      <c r="H2440" s="30"/>
      <c r="I2440" s="35"/>
      <c r="J2440" s="41"/>
      <c r="K2440" s="64"/>
      <c r="L2440" s="41"/>
      <c r="M2440" s="33"/>
      <c r="N2440" s="33">
        <v>9</v>
      </c>
      <c r="O2440" s="58">
        <f>ROUND(PRODUCT(J2440:N2440),2)</f>
        <v>9</v>
      </c>
    </row>
    <row r="2441" spans="1:15" ht="45" hidden="1" outlineLevel="1">
      <c r="A2441" s="2">
        <v>6</v>
      </c>
      <c r="B2441" s="2">
        <v>12</v>
      </c>
      <c r="C2441" s="2">
        <v>3</v>
      </c>
      <c r="D2441" s="2">
        <f>1+D2439</f>
        <v>6</v>
      </c>
      <c r="E2441" s="20" t="str">
        <f>CONCATENATE(A2441,".",B2441,".",C2441,".",D2441)</f>
        <v>6.12.3.6</v>
      </c>
      <c r="F2441" s="21" t="s">
        <v>3930</v>
      </c>
      <c r="G2441" s="22" t="s">
        <v>392</v>
      </c>
      <c r="H2441" s="23" t="s">
        <v>393</v>
      </c>
      <c r="I2441" s="24" t="s">
        <v>36</v>
      </c>
      <c r="J2441" s="32"/>
      <c r="K2441" s="10"/>
      <c r="L2441" s="32"/>
      <c r="M2441" s="10"/>
      <c r="N2441" s="33"/>
      <c r="O2441" s="11">
        <f>SUM(O2442)</f>
        <v>8</v>
      </c>
    </row>
    <row r="2442" spans="1:15" hidden="1" outlineLevel="1">
      <c r="E2442" s="29"/>
      <c r="F2442" s="21"/>
      <c r="G2442" s="22"/>
      <c r="H2442" s="30"/>
      <c r="I2442" s="62"/>
      <c r="J2442" s="41"/>
      <c r="K2442" s="64"/>
      <c r="L2442" s="41"/>
      <c r="M2442" s="33"/>
      <c r="N2442" s="33">
        <v>8</v>
      </c>
      <c r="O2442" s="58">
        <f>ROUND(PRODUCT(J2442:N2442),2)</f>
        <v>8</v>
      </c>
    </row>
    <row r="2443" spans="1:15" ht="30" hidden="1" outlineLevel="1">
      <c r="A2443" s="2">
        <v>6</v>
      </c>
      <c r="B2443" s="2">
        <v>12</v>
      </c>
      <c r="C2443" s="2">
        <v>3</v>
      </c>
      <c r="D2443" s="2">
        <f>1+D2441</f>
        <v>7</v>
      </c>
      <c r="E2443" s="20" t="str">
        <f>CONCATENATE(A2443,".",B2443,".",C2443,".",D2443)</f>
        <v>6.12.3.7</v>
      </c>
      <c r="F2443" s="21" t="s">
        <v>3931</v>
      </c>
      <c r="G2443" s="22">
        <v>86909</v>
      </c>
      <c r="H2443" s="23" t="s">
        <v>396</v>
      </c>
      <c r="I2443" s="24" t="s">
        <v>36</v>
      </c>
      <c r="J2443" s="32"/>
      <c r="K2443" s="10"/>
      <c r="L2443" s="32"/>
      <c r="M2443" s="10"/>
      <c r="N2443" s="33"/>
      <c r="O2443" s="11">
        <f>SUM(O2444)</f>
        <v>8</v>
      </c>
    </row>
    <row r="2444" spans="1:15" hidden="1" outlineLevel="1">
      <c r="E2444" s="29"/>
      <c r="F2444" s="21"/>
      <c r="G2444" s="22"/>
      <c r="H2444" s="30"/>
      <c r="I2444" s="62"/>
      <c r="J2444" s="41"/>
      <c r="K2444" s="64"/>
      <c r="L2444" s="41"/>
      <c r="M2444" s="33"/>
      <c r="N2444" s="33">
        <v>8</v>
      </c>
      <c r="O2444" s="58">
        <f>ROUND(PRODUCT(J2444:N2444),2)</f>
        <v>8</v>
      </c>
    </row>
    <row r="2445" spans="1:15" ht="30" hidden="1" outlineLevel="1">
      <c r="E2445" s="29"/>
      <c r="F2445" s="21" t="s">
        <v>3932</v>
      </c>
      <c r="G2445" s="22">
        <v>86914</v>
      </c>
      <c r="H2445" s="23" t="s">
        <v>399</v>
      </c>
      <c r="I2445" s="24" t="s">
        <v>36</v>
      </c>
      <c r="J2445" s="32"/>
      <c r="K2445" s="10"/>
      <c r="L2445" s="32"/>
      <c r="M2445" s="10"/>
      <c r="N2445" s="33"/>
      <c r="O2445" s="11">
        <f>SUM(O2446)</f>
        <v>3</v>
      </c>
    </row>
    <row r="2446" spans="1:15" hidden="1" outlineLevel="1">
      <c r="E2446" s="29"/>
      <c r="F2446" s="21"/>
      <c r="G2446" s="22"/>
      <c r="H2446" s="30"/>
      <c r="I2446" s="62"/>
      <c r="J2446" s="41"/>
      <c r="K2446" s="64"/>
      <c r="L2446" s="41"/>
      <c r="M2446" s="33"/>
      <c r="N2446" s="33">
        <v>3</v>
      </c>
      <c r="O2446" s="58">
        <f>ROUND(PRODUCT(J2446:N2446),2)</f>
        <v>3</v>
      </c>
    </row>
    <row r="2447" spans="1:15" hidden="1" outlineLevel="1">
      <c r="A2447" s="2">
        <v>6</v>
      </c>
      <c r="B2447" s="2">
        <v>12</v>
      </c>
      <c r="C2447" s="2">
        <v>3</v>
      </c>
      <c r="D2447" s="2">
        <f>1+D2443</f>
        <v>8</v>
      </c>
      <c r="E2447" s="20" t="str">
        <f>CONCATENATE(A2447,".",B2447,".",C2447,".",D2447)</f>
        <v>6.12.3.8</v>
      </c>
      <c r="F2447" s="21" t="s">
        <v>3933</v>
      </c>
      <c r="G2447" s="22">
        <v>100705</v>
      </c>
      <c r="H2447" s="23" t="s">
        <v>426</v>
      </c>
      <c r="I2447" s="24" t="s">
        <v>36</v>
      </c>
      <c r="J2447" s="32"/>
      <c r="K2447" s="10"/>
      <c r="L2447" s="32"/>
      <c r="M2447" s="10"/>
      <c r="N2447" s="33"/>
      <c r="O2447" s="11">
        <f>SUM(O2448:O2448)</f>
        <v>10</v>
      </c>
    </row>
    <row r="2448" spans="1:15" hidden="1" outlineLevel="1">
      <c r="E2448" s="29"/>
      <c r="F2448" s="21"/>
      <c r="G2448" s="22"/>
      <c r="H2448" s="30"/>
      <c r="I2448" s="62"/>
      <c r="J2448" s="37"/>
      <c r="K2448" s="38"/>
      <c r="L2448" s="37"/>
      <c r="M2448" s="38"/>
      <c r="N2448" s="38">
        <v>10</v>
      </c>
      <c r="O2448" s="58">
        <f>ROUND(PRODUCT(J2448:N2448),2)</f>
        <v>10</v>
      </c>
    </row>
    <row r="2449" spans="1:15" ht="30" hidden="1" outlineLevel="1">
      <c r="A2449" s="2">
        <v>6</v>
      </c>
      <c r="B2449" s="2">
        <v>12</v>
      </c>
      <c r="C2449" s="2">
        <v>3</v>
      </c>
      <c r="D2449" s="2">
        <f>1+D2447</f>
        <v>9</v>
      </c>
      <c r="E2449" s="20" t="str">
        <f>CONCATENATE(A2449,".",B2449,".",C2449,".",D2449)</f>
        <v>6.12.3.9</v>
      </c>
      <c r="F2449" s="21" t="s">
        <v>3934</v>
      </c>
      <c r="G2449" s="22">
        <v>86915</v>
      </c>
      <c r="H2449" s="23" t="s">
        <v>405</v>
      </c>
      <c r="I2449" s="24" t="s">
        <v>36</v>
      </c>
      <c r="J2449" s="32"/>
      <c r="K2449" s="10"/>
      <c r="L2449" s="32"/>
      <c r="M2449" s="10"/>
      <c r="N2449" s="33"/>
      <c r="O2449" s="11">
        <f>SUM(O2450:O2450)</f>
        <v>6</v>
      </c>
    </row>
    <row r="2450" spans="1:15" hidden="1" outlineLevel="1">
      <c r="E2450" s="29"/>
      <c r="F2450" s="21"/>
      <c r="G2450" s="22"/>
      <c r="H2450" s="30"/>
      <c r="I2450" s="62"/>
      <c r="J2450" s="37"/>
      <c r="K2450" s="38"/>
      <c r="L2450" s="37"/>
      <c r="M2450" s="38"/>
      <c r="N2450" s="38">
        <v>6</v>
      </c>
      <c r="O2450" s="58">
        <f>ROUND(PRODUCT(J2450:N2450),2)</f>
        <v>6</v>
      </c>
    </row>
    <row r="2451" spans="1:15" hidden="1" outlineLevel="1">
      <c r="A2451" s="2">
        <v>6</v>
      </c>
      <c r="B2451" s="2">
        <v>12</v>
      </c>
      <c r="C2451" s="2">
        <v>3</v>
      </c>
      <c r="D2451" s="2">
        <f>1+D2449</f>
        <v>10</v>
      </c>
      <c r="E2451" s="20" t="str">
        <f>CONCATENATE(A2451,".",B2451,".",C2451,".",D2451)</f>
        <v>6.12.3.10</v>
      </c>
      <c r="F2451" s="21" t="s">
        <v>3935</v>
      </c>
      <c r="G2451" s="22">
        <v>371</v>
      </c>
      <c r="H2451" s="23" t="s">
        <v>417</v>
      </c>
      <c r="I2451" s="24" t="s">
        <v>36</v>
      </c>
      <c r="J2451" s="32"/>
      <c r="K2451" s="10"/>
      <c r="L2451" s="32"/>
      <c r="M2451" s="10"/>
      <c r="N2451" s="33"/>
      <c r="O2451" s="11">
        <f>SUM(O2452:O2452)</f>
        <v>3</v>
      </c>
    </row>
    <row r="2452" spans="1:15" hidden="1" outlineLevel="1">
      <c r="E2452" s="29"/>
      <c r="F2452" s="21"/>
      <c r="G2452" s="22"/>
      <c r="H2452" s="30"/>
      <c r="I2452" s="62"/>
      <c r="J2452" s="37"/>
      <c r="K2452" s="38"/>
      <c r="L2452" s="37"/>
      <c r="M2452" s="38"/>
      <c r="N2452" s="38">
        <v>3</v>
      </c>
      <c r="O2452" s="58">
        <f>ROUND(PRODUCT(J2452:N2452),2)</f>
        <v>3</v>
      </c>
    </row>
    <row r="2453" spans="1:15" hidden="1" outlineLevel="1">
      <c r="A2453" s="2">
        <v>6</v>
      </c>
      <c r="B2453" s="2">
        <v>12</v>
      </c>
      <c r="C2453" s="2">
        <v>3</v>
      </c>
      <c r="D2453" s="2">
        <f>1+D2451</f>
        <v>11</v>
      </c>
      <c r="E2453" s="20" t="str">
        <f>CONCATENATE(A2453,".",B2453,".",C2453,".",D2453)</f>
        <v>6.12.3.11</v>
      </c>
      <c r="F2453" s="21" t="s">
        <v>3936</v>
      </c>
      <c r="G2453" s="22">
        <v>95547</v>
      </c>
      <c r="H2453" s="23" t="s">
        <v>3330</v>
      </c>
      <c r="I2453" s="24" t="s">
        <v>36</v>
      </c>
      <c r="J2453" s="32"/>
      <c r="K2453" s="10"/>
      <c r="L2453" s="32"/>
      <c r="M2453" s="10"/>
      <c r="N2453" s="33"/>
      <c r="O2453" s="11">
        <f>SUM(O2454)</f>
        <v>6</v>
      </c>
    </row>
    <row r="2454" spans="1:15" hidden="1" outlineLevel="1">
      <c r="E2454" s="29"/>
      <c r="F2454" s="21"/>
      <c r="G2454" s="22"/>
      <c r="H2454" s="30"/>
      <c r="I2454" s="62"/>
      <c r="J2454" s="37"/>
      <c r="K2454" s="38"/>
      <c r="L2454" s="37"/>
      <c r="M2454" s="38"/>
      <c r="N2454" s="38">
        <v>6</v>
      </c>
      <c r="O2454" s="58">
        <f>ROUND(PRODUCT(J2454:N2454),2)</f>
        <v>6</v>
      </c>
    </row>
    <row r="2455" spans="1:15" hidden="1" outlineLevel="1">
      <c r="A2455" s="2">
        <v>6</v>
      </c>
      <c r="B2455" s="2">
        <v>12</v>
      </c>
      <c r="C2455" s="2">
        <v>3</v>
      </c>
      <c r="D2455" s="2">
        <f>1+D2453</f>
        <v>12</v>
      </c>
      <c r="E2455" s="20" t="str">
        <f>CONCATENATE(A2455,".",B2455,".",C2455,".",D2455)</f>
        <v>6.12.3.12</v>
      </c>
      <c r="F2455" s="21" t="s">
        <v>3937</v>
      </c>
      <c r="G2455" s="22">
        <v>286</v>
      </c>
      <c r="H2455" s="23" t="s">
        <v>3336</v>
      </c>
      <c r="I2455" s="24" t="s">
        <v>2798</v>
      </c>
      <c r="J2455" s="32"/>
      <c r="K2455" s="10"/>
      <c r="L2455" s="32"/>
      <c r="M2455" s="10"/>
      <c r="N2455" s="33"/>
      <c r="O2455" s="11">
        <f>SUM(O2456)</f>
        <v>4</v>
      </c>
    </row>
    <row r="2456" spans="1:15" hidden="1" outlineLevel="1">
      <c r="E2456" s="29"/>
      <c r="F2456" s="21"/>
      <c r="G2456" s="22"/>
      <c r="H2456" s="30"/>
      <c r="I2456" s="62"/>
      <c r="J2456" s="37"/>
      <c r="K2456" s="38">
        <v>0.5</v>
      </c>
      <c r="L2456" s="37">
        <v>1</v>
      </c>
      <c r="M2456" s="38"/>
      <c r="N2456" s="38">
        <v>8</v>
      </c>
      <c r="O2456" s="58">
        <f>ROUND(PRODUCT(J2456:N2456),2)</f>
        <v>4</v>
      </c>
    </row>
    <row r="2457" spans="1:15" ht="30" hidden="1" outlineLevel="1">
      <c r="A2457" s="2">
        <v>6</v>
      </c>
      <c r="B2457" s="2">
        <v>12</v>
      </c>
      <c r="C2457" s="2">
        <v>3</v>
      </c>
      <c r="D2457" s="2" t="e">
        <f>1+#REF!</f>
        <v>#REF!</v>
      </c>
      <c r="E2457" s="20" t="e">
        <f>CONCATENATE(A2457,".",B2457,".",C2457,".",D2457)</f>
        <v>#REF!</v>
      </c>
      <c r="F2457" s="21" t="s">
        <v>3938</v>
      </c>
      <c r="G2457" s="22">
        <v>100871</v>
      </c>
      <c r="H2457" s="23" t="s">
        <v>3322</v>
      </c>
      <c r="I2457" s="24" t="s">
        <v>36</v>
      </c>
      <c r="J2457" s="32"/>
      <c r="K2457" s="10"/>
      <c r="L2457" s="32"/>
      <c r="M2457" s="10"/>
      <c r="N2457" s="33"/>
      <c r="O2457" s="11">
        <f>SUM(O2458)</f>
        <v>6</v>
      </c>
    </row>
    <row r="2458" spans="1:15" hidden="1" outlineLevel="1">
      <c r="E2458" s="29"/>
      <c r="F2458" s="21"/>
      <c r="G2458" s="22"/>
      <c r="H2458" s="30"/>
      <c r="I2458" s="35"/>
      <c r="J2458" s="41"/>
      <c r="K2458" s="64"/>
      <c r="L2458" s="41"/>
      <c r="M2458" s="33"/>
      <c r="N2458" s="33">
        <v>6</v>
      </c>
      <c r="O2458" s="58">
        <f>ROUND(PRODUCT(J2458:N2458),2)</f>
        <v>6</v>
      </c>
    </row>
    <row r="2459" spans="1:15" ht="30" hidden="1" outlineLevel="1">
      <c r="A2459" s="2">
        <v>6</v>
      </c>
      <c r="B2459" s="2">
        <v>12</v>
      </c>
      <c r="C2459" s="2">
        <v>3</v>
      </c>
      <c r="D2459" s="2" t="e">
        <f>1+D2457</f>
        <v>#REF!</v>
      </c>
      <c r="E2459" s="20" t="e">
        <f>CONCATENATE(A2459,".",B2459,".",C2459,".",D2459)</f>
        <v>#REF!</v>
      </c>
      <c r="F2459" s="21" t="s">
        <v>3939</v>
      </c>
      <c r="G2459" s="22">
        <v>376</v>
      </c>
      <c r="H2459" s="23" t="s">
        <v>435</v>
      </c>
      <c r="I2459" s="24" t="s">
        <v>36</v>
      </c>
      <c r="J2459" s="32"/>
      <c r="K2459" s="10"/>
      <c r="L2459" s="32"/>
      <c r="M2459" s="10"/>
      <c r="N2459" s="33"/>
      <c r="O2459" s="11">
        <f>SUM(O2460)</f>
        <v>8</v>
      </c>
    </row>
    <row r="2460" spans="1:15" hidden="1" outlineLevel="1">
      <c r="E2460" s="29"/>
      <c r="F2460" s="21"/>
      <c r="G2460" s="22"/>
      <c r="H2460" s="30"/>
      <c r="I2460" s="62"/>
      <c r="J2460" s="37"/>
      <c r="K2460" s="38"/>
      <c r="L2460" s="37"/>
      <c r="M2460" s="38"/>
      <c r="N2460" s="38">
        <v>8</v>
      </c>
      <c r="O2460" s="58">
        <f>ROUND(PRODUCT(J2460:N2460),2)</f>
        <v>8</v>
      </c>
    </row>
    <row r="2461" spans="1:15" ht="30" hidden="1" outlineLevel="1">
      <c r="E2461" s="29"/>
      <c r="F2461" s="21" t="s">
        <v>3940</v>
      </c>
      <c r="G2461" s="22">
        <v>377</v>
      </c>
      <c r="H2461" s="23" t="s">
        <v>3339</v>
      </c>
      <c r="I2461" s="24" t="s">
        <v>36</v>
      </c>
      <c r="J2461" s="32"/>
      <c r="K2461" s="10"/>
      <c r="L2461" s="32"/>
      <c r="M2461" s="10"/>
      <c r="N2461" s="33"/>
      <c r="O2461" s="11">
        <f>SUM(O2462)</f>
        <v>8</v>
      </c>
    </row>
    <row r="2462" spans="1:15" hidden="1" outlineLevel="1">
      <c r="E2462" s="29"/>
      <c r="F2462" s="21"/>
      <c r="G2462" s="22"/>
      <c r="H2462" s="30"/>
      <c r="I2462" s="62"/>
      <c r="J2462" s="37"/>
      <c r="K2462" s="38"/>
      <c r="L2462" s="37"/>
      <c r="M2462" s="38"/>
      <c r="N2462" s="38">
        <v>8</v>
      </c>
      <c r="O2462" s="58">
        <f>ROUND(PRODUCT(J2462:N2462),2)</f>
        <v>8</v>
      </c>
    </row>
    <row r="2463" spans="1:15" ht="30" hidden="1" outlineLevel="1">
      <c r="A2463" s="2">
        <v>6</v>
      </c>
      <c r="B2463" s="2">
        <v>12</v>
      </c>
      <c r="C2463" s="2">
        <v>3</v>
      </c>
      <c r="D2463" s="2" t="e">
        <f>1+#REF!</f>
        <v>#REF!</v>
      </c>
      <c r="E2463" s="20" t="e">
        <f>CONCATENATE(A2463,".",B2463,".",C2463,".",D2463)</f>
        <v>#REF!</v>
      </c>
      <c r="F2463" s="21" t="s">
        <v>3941</v>
      </c>
      <c r="G2463" s="22">
        <v>368</v>
      </c>
      <c r="H2463" s="23" t="s">
        <v>444</v>
      </c>
      <c r="I2463" s="24" t="s">
        <v>36</v>
      </c>
      <c r="J2463" s="32"/>
      <c r="K2463" s="10"/>
      <c r="L2463" s="32"/>
      <c r="M2463" s="10"/>
      <c r="N2463" s="33"/>
      <c r="O2463" s="11">
        <f>SUM(O2464:O2464)</f>
        <v>8</v>
      </c>
    </row>
    <row r="2464" spans="1:15" hidden="1" outlineLevel="1">
      <c r="E2464" s="29"/>
      <c r="F2464" s="21"/>
      <c r="G2464" s="22"/>
      <c r="H2464" s="30"/>
      <c r="I2464" s="62"/>
      <c r="J2464" s="37"/>
      <c r="K2464" s="38"/>
      <c r="L2464" s="37"/>
      <c r="M2464" s="38"/>
      <c r="N2464" s="38">
        <v>8</v>
      </c>
      <c r="O2464" s="58">
        <f>ROUND(PRODUCT(J2464:N2464),2)</f>
        <v>8</v>
      </c>
    </row>
    <row r="2465" spans="1:17" collapsed="1">
      <c r="A2465" s="2">
        <v>6</v>
      </c>
      <c r="B2465" s="2">
        <v>12</v>
      </c>
      <c r="C2465" s="2">
        <v>4</v>
      </c>
      <c r="E2465" s="42" t="str">
        <f>CONCATENATE(A2465,".",B2465,".",C2465)</f>
        <v>6.12.4</v>
      </c>
      <c r="F2465" s="45" t="s">
        <v>3942</v>
      </c>
      <c r="G2465" s="13"/>
      <c r="H2465" s="14" t="s">
        <v>835</v>
      </c>
      <c r="I2465" s="15"/>
      <c r="J2465" s="16"/>
      <c r="K2465" s="17"/>
      <c r="L2465" s="16"/>
      <c r="M2465" s="17"/>
      <c r="N2465" s="18"/>
      <c r="O2465" s="19"/>
      <c r="P2465" s="185"/>
      <c r="Q2465" s="185"/>
    </row>
    <row r="2466" spans="1:17" ht="30" hidden="1" outlineLevel="1">
      <c r="A2466" s="2">
        <v>6</v>
      </c>
      <c r="B2466" s="2">
        <v>12</v>
      </c>
      <c r="C2466" s="2">
        <v>4</v>
      </c>
      <c r="D2466" s="2" t="e">
        <f>1+#REF!</f>
        <v>#REF!</v>
      </c>
      <c r="E2466" s="20" t="e">
        <f>CONCATENATE(A2466,".",B2466,".",C2466,".",D2466)</f>
        <v>#REF!</v>
      </c>
      <c r="F2466" s="21" t="s">
        <v>3943</v>
      </c>
      <c r="G2466" s="22">
        <v>89512</v>
      </c>
      <c r="H2466" s="23" t="s">
        <v>838</v>
      </c>
      <c r="I2466" s="24" t="s">
        <v>144</v>
      </c>
      <c r="J2466" s="32"/>
      <c r="K2466" s="10"/>
      <c r="L2466" s="32"/>
      <c r="M2466" s="10"/>
      <c r="N2466" s="33"/>
      <c r="O2466" s="11">
        <f>SUM(O2467)</f>
        <v>134.9</v>
      </c>
    </row>
    <row r="2467" spans="1:17" hidden="1" outlineLevel="2">
      <c r="E2467" s="29"/>
      <c r="F2467" s="21"/>
      <c r="G2467" s="22"/>
      <c r="H2467" s="23"/>
      <c r="I2467" s="24"/>
      <c r="J2467" s="32"/>
      <c r="K2467" s="64"/>
      <c r="L2467" s="32"/>
      <c r="M2467" s="10"/>
      <c r="N2467" s="33">
        <v>134.9</v>
      </c>
      <c r="O2467" s="58">
        <f>ROUND(PRODUCT(J2467:N2467),2)</f>
        <v>134.9</v>
      </c>
    </row>
    <row r="2468" spans="1:17" ht="30" hidden="1" outlineLevel="1">
      <c r="A2468" s="2">
        <v>6</v>
      </c>
      <c r="B2468" s="2">
        <v>12</v>
      </c>
      <c r="C2468" s="2">
        <v>4</v>
      </c>
      <c r="D2468" s="2" t="e">
        <f>1+D2466</f>
        <v>#REF!</v>
      </c>
      <c r="E2468" s="20" t="e">
        <f>CONCATENATE(A2468,".",B2468,".",C2468,".",D2468)</f>
        <v>#REF!</v>
      </c>
      <c r="F2468" s="21" t="s">
        <v>3944</v>
      </c>
      <c r="G2468" s="22">
        <v>104166</v>
      </c>
      <c r="H2468" s="23" t="s">
        <v>841</v>
      </c>
      <c r="I2468" s="24" t="s">
        <v>144</v>
      </c>
      <c r="J2468" s="32"/>
      <c r="K2468" s="10"/>
      <c r="L2468" s="32"/>
      <c r="M2468" s="10"/>
      <c r="N2468" s="33"/>
      <c r="O2468" s="11">
        <f>SUM(O2469)</f>
        <v>17.13</v>
      </c>
    </row>
    <row r="2469" spans="1:17" hidden="1" outlineLevel="2">
      <c r="E2469" s="29"/>
      <c r="F2469" s="21"/>
      <c r="G2469" s="22"/>
      <c r="H2469" s="23"/>
      <c r="I2469" s="24"/>
      <c r="J2469" s="32"/>
      <c r="K2469" s="64"/>
      <c r="L2469" s="32"/>
      <c r="M2469" s="10"/>
      <c r="N2469" s="33">
        <v>17.13</v>
      </c>
      <c r="O2469" s="58">
        <f>ROUND(PRODUCT(J2469:N2469),2)</f>
        <v>17.13</v>
      </c>
    </row>
    <row r="2470" spans="1:17" ht="45" hidden="1" outlineLevel="1">
      <c r="A2470" s="2">
        <v>6</v>
      </c>
      <c r="B2470" s="2">
        <v>12</v>
      </c>
      <c r="C2470" s="2">
        <v>4</v>
      </c>
      <c r="D2470" s="2" t="e">
        <f>1+D2468</f>
        <v>#REF!</v>
      </c>
      <c r="E2470" s="20" t="e">
        <f>CONCATENATE(A2470,".",B2470,".",C2470,".",D2470)</f>
        <v>#REF!</v>
      </c>
      <c r="F2470" s="21" t="s">
        <v>3945</v>
      </c>
      <c r="G2470" s="22">
        <v>89587</v>
      </c>
      <c r="H2470" s="23" t="s">
        <v>847</v>
      </c>
      <c r="I2470" s="24" t="s">
        <v>36</v>
      </c>
      <c r="J2470" s="32"/>
      <c r="K2470" s="10"/>
      <c r="L2470" s="32"/>
      <c r="M2470" s="10"/>
      <c r="N2470" s="33"/>
      <c r="O2470" s="11">
        <f>SUM(O2471)</f>
        <v>6</v>
      </c>
    </row>
    <row r="2471" spans="1:17" hidden="1" outlineLevel="2">
      <c r="E2471" s="29"/>
      <c r="F2471" s="21"/>
      <c r="G2471" s="22"/>
      <c r="H2471" s="23"/>
      <c r="I2471" s="24"/>
      <c r="J2471" s="32"/>
      <c r="K2471" s="64"/>
      <c r="L2471" s="32"/>
      <c r="M2471" s="10"/>
      <c r="N2471" s="33">
        <v>6</v>
      </c>
      <c r="O2471" s="58">
        <f>ROUND(PRODUCT(J2471:N2471),2)</f>
        <v>6</v>
      </c>
    </row>
    <row r="2472" spans="1:17" ht="30" hidden="1" outlineLevel="1">
      <c r="A2472" s="2">
        <v>6</v>
      </c>
      <c r="B2472" s="2">
        <v>12</v>
      </c>
      <c r="C2472" s="2">
        <v>4</v>
      </c>
      <c r="D2472" s="2" t="e">
        <f>1+D2470</f>
        <v>#REF!</v>
      </c>
      <c r="E2472" s="20" t="e">
        <f>CONCATENATE(A2472,".",B2472,".",C2472,".",D2472)</f>
        <v>#REF!</v>
      </c>
      <c r="F2472" s="21" t="s">
        <v>3946</v>
      </c>
      <c r="G2472" s="22">
        <v>104169</v>
      </c>
      <c r="H2472" s="23" t="s">
        <v>1149</v>
      </c>
      <c r="I2472" s="24" t="s">
        <v>36</v>
      </c>
      <c r="J2472" s="32"/>
      <c r="K2472" s="10"/>
      <c r="L2472" s="32"/>
      <c r="M2472" s="10"/>
      <c r="N2472" s="33"/>
      <c r="O2472" s="11">
        <f>SUM(O2473)</f>
        <v>2</v>
      </c>
    </row>
    <row r="2473" spans="1:17" hidden="1" outlineLevel="2">
      <c r="E2473" s="29"/>
      <c r="F2473" s="21"/>
      <c r="G2473" s="22"/>
      <c r="H2473" s="23"/>
      <c r="I2473" s="24"/>
      <c r="J2473" s="32"/>
      <c r="K2473" s="64"/>
      <c r="L2473" s="32"/>
      <c r="M2473" s="10"/>
      <c r="N2473" s="33">
        <v>2</v>
      </c>
      <c r="O2473" s="58">
        <f>ROUND(PRODUCT(J2473:N2473),2)</f>
        <v>2</v>
      </c>
    </row>
    <row r="2474" spans="1:17" ht="30" hidden="1" outlineLevel="1">
      <c r="A2474" s="2">
        <v>6</v>
      </c>
      <c r="B2474" s="2">
        <v>12</v>
      </c>
      <c r="C2474" s="2">
        <v>4</v>
      </c>
      <c r="D2474" s="2" t="e">
        <f>1+D2472</f>
        <v>#REF!</v>
      </c>
      <c r="E2474" s="20" t="e">
        <f>CONCATENATE(A2474,".",B2474,".",C2474,".",D2474)</f>
        <v>#REF!</v>
      </c>
      <c r="F2474" s="21" t="s">
        <v>3947</v>
      </c>
      <c r="G2474" s="22">
        <v>104178</v>
      </c>
      <c r="H2474" s="23" t="s">
        <v>844</v>
      </c>
      <c r="I2474" s="24" t="s">
        <v>36</v>
      </c>
      <c r="J2474" s="32"/>
      <c r="K2474" s="10"/>
      <c r="L2474" s="32"/>
      <c r="M2474" s="10"/>
      <c r="N2474" s="33"/>
      <c r="O2474" s="11">
        <f>SUM(O2475)</f>
        <v>5</v>
      </c>
    </row>
    <row r="2475" spans="1:17" hidden="1" outlineLevel="2">
      <c r="E2475" s="29"/>
      <c r="F2475" s="21"/>
      <c r="G2475" s="22"/>
      <c r="H2475" s="23"/>
      <c r="I2475" s="24"/>
      <c r="J2475" s="32"/>
      <c r="K2475" s="64"/>
      <c r="L2475" s="32"/>
      <c r="M2475" s="10"/>
      <c r="N2475" s="33">
        <v>5</v>
      </c>
      <c r="O2475" s="58">
        <f>ROUND(PRODUCT(J2475:N2475),2)</f>
        <v>5</v>
      </c>
    </row>
    <row r="2476" spans="1:17" ht="30" hidden="1" outlineLevel="1">
      <c r="A2476" s="2">
        <v>6</v>
      </c>
      <c r="B2476" s="2">
        <v>12</v>
      </c>
      <c r="C2476" s="2">
        <v>4</v>
      </c>
      <c r="D2476" s="2" t="e">
        <f>1+#REF!</f>
        <v>#REF!</v>
      </c>
      <c r="E2476" s="20" t="e">
        <f>CONCATENATE(A2476,".",B2476,".",C2476,".",D2476)</f>
        <v>#REF!</v>
      </c>
      <c r="F2476" s="21" t="s">
        <v>3948</v>
      </c>
      <c r="G2476" s="22">
        <v>1127</v>
      </c>
      <c r="H2476" s="23" t="s">
        <v>3949</v>
      </c>
      <c r="I2476" s="24" t="s">
        <v>36</v>
      </c>
      <c r="J2476" s="32"/>
      <c r="K2476" s="10"/>
      <c r="L2476" s="32"/>
      <c r="M2476" s="10"/>
      <c r="N2476" s="33"/>
      <c r="O2476" s="11">
        <f>SUM(O2477)</f>
        <v>19</v>
      </c>
    </row>
    <row r="2477" spans="1:17" hidden="1" outlineLevel="2">
      <c r="E2477" s="29"/>
      <c r="F2477" s="21"/>
      <c r="G2477" s="22"/>
      <c r="H2477" s="23"/>
      <c r="I2477" s="24"/>
      <c r="J2477" s="32"/>
      <c r="K2477" s="64"/>
      <c r="L2477" s="32"/>
      <c r="M2477" s="10"/>
      <c r="N2477" s="33">
        <v>19</v>
      </c>
      <c r="O2477" s="58">
        <f>ROUND(PRODUCT(J2477:N2477),2)</f>
        <v>19</v>
      </c>
    </row>
    <row r="2478" spans="1:17" hidden="1" outlineLevel="1">
      <c r="A2478" s="2">
        <v>6</v>
      </c>
      <c r="B2478" s="2">
        <v>12</v>
      </c>
      <c r="C2478" s="2">
        <v>4</v>
      </c>
      <c r="D2478" s="2" t="e">
        <f>1+D2476</f>
        <v>#REF!</v>
      </c>
      <c r="E2478" s="20" t="e">
        <f>CONCATENATE(A2478,".",B2478,".",C2478,".",D2478)</f>
        <v>#REF!</v>
      </c>
      <c r="F2478" s="21" t="s">
        <v>3950</v>
      </c>
      <c r="G2478" s="22">
        <v>453</v>
      </c>
      <c r="H2478" s="23" t="s">
        <v>865</v>
      </c>
      <c r="I2478" s="24" t="s">
        <v>36</v>
      </c>
      <c r="J2478" s="32"/>
      <c r="K2478" s="10"/>
      <c r="L2478" s="32"/>
      <c r="M2478" s="10"/>
      <c r="N2478" s="33"/>
      <c r="O2478" s="11">
        <f>SUM(O2479)</f>
        <v>8</v>
      </c>
    </row>
    <row r="2479" spans="1:17" hidden="1" outlineLevel="2">
      <c r="E2479" s="29"/>
      <c r="F2479" s="21"/>
      <c r="G2479" s="22"/>
      <c r="H2479" s="23"/>
      <c r="I2479" s="24"/>
      <c r="J2479" s="32"/>
      <c r="K2479" s="64"/>
      <c r="L2479" s="32"/>
      <c r="M2479" s="10"/>
      <c r="N2479" s="33">
        <v>8</v>
      </c>
      <c r="O2479" s="58">
        <f>ROUND(PRODUCT(J2479:N2479),2)</f>
        <v>8</v>
      </c>
    </row>
    <row r="2480" spans="1:17" ht="30" hidden="1" outlineLevel="1">
      <c r="A2480" s="2">
        <v>6</v>
      </c>
      <c r="B2480" s="2">
        <v>12</v>
      </c>
      <c r="C2480" s="2">
        <v>4</v>
      </c>
      <c r="D2480" s="2" t="e">
        <f>1+D2478</f>
        <v>#REF!</v>
      </c>
      <c r="E2480" s="20" t="e">
        <f>CONCATENATE(A2480,".",B2480,".",C2480,".",D2480)</f>
        <v>#REF!</v>
      </c>
      <c r="F2480" s="21" t="s">
        <v>3951</v>
      </c>
      <c r="G2480" s="22">
        <v>104168</v>
      </c>
      <c r="H2480" s="23" t="s">
        <v>1155</v>
      </c>
      <c r="I2480" s="24" t="s">
        <v>36</v>
      </c>
      <c r="J2480" s="32"/>
      <c r="K2480" s="10"/>
      <c r="L2480" s="32"/>
      <c r="M2480" s="10"/>
      <c r="N2480" s="33"/>
      <c r="O2480" s="11">
        <f>SUM(O2481)</f>
        <v>2</v>
      </c>
    </row>
    <row r="2481" spans="1:16" hidden="1" outlineLevel="2">
      <c r="E2481" s="29"/>
      <c r="F2481" s="21"/>
      <c r="G2481" s="22"/>
      <c r="H2481" s="23"/>
      <c r="I2481" s="24"/>
      <c r="J2481" s="32"/>
      <c r="K2481" s="64"/>
      <c r="L2481" s="32"/>
      <c r="M2481" s="10"/>
      <c r="N2481" s="33">
        <v>2</v>
      </c>
      <c r="O2481" s="58">
        <f>ROUND(PRODUCT(J2481:N2481),2)</f>
        <v>2</v>
      </c>
    </row>
    <row r="2482" spans="1:16" ht="30" hidden="1" outlineLevel="1">
      <c r="A2482" s="2">
        <v>6</v>
      </c>
      <c r="B2482" s="2">
        <v>12</v>
      </c>
      <c r="C2482" s="2">
        <v>4</v>
      </c>
      <c r="D2482" s="2" t="e">
        <f>1+D2480</f>
        <v>#REF!</v>
      </c>
      <c r="E2482" s="20" t="e">
        <f>CONCATENATE(A2482,".",B2482,".",C2482,".",D2482)</f>
        <v>#REF!</v>
      </c>
      <c r="F2482" s="21" t="s">
        <v>3952</v>
      </c>
      <c r="G2482" s="22">
        <v>89531</v>
      </c>
      <c r="H2482" s="23" t="s">
        <v>1158</v>
      </c>
      <c r="I2482" s="24" t="s">
        <v>36</v>
      </c>
      <c r="J2482" s="32"/>
      <c r="K2482" s="10"/>
      <c r="L2482" s="32"/>
      <c r="M2482" s="10"/>
      <c r="N2482" s="33"/>
      <c r="O2482" s="11">
        <f>SUM(O2483)</f>
        <v>8</v>
      </c>
    </row>
    <row r="2483" spans="1:16" hidden="1" outlineLevel="2">
      <c r="E2483" s="29"/>
      <c r="F2483" s="21"/>
      <c r="G2483" s="22"/>
      <c r="H2483" s="23"/>
      <c r="I2483" s="24"/>
      <c r="J2483" s="32"/>
      <c r="K2483" s="64"/>
      <c r="L2483" s="32"/>
      <c r="M2483" s="10"/>
      <c r="N2483" s="33">
        <v>8</v>
      </c>
      <c r="O2483" s="58">
        <f>ROUND(PRODUCT(J2483:N2483),2)</f>
        <v>8</v>
      </c>
    </row>
    <row r="2484" spans="1:16" ht="30" hidden="1" outlineLevel="1">
      <c r="A2484" s="2">
        <v>6</v>
      </c>
      <c r="B2484" s="2">
        <v>12</v>
      </c>
      <c r="C2484" s="2">
        <v>4</v>
      </c>
      <c r="D2484" s="2" t="e">
        <f>1+#REF!</f>
        <v>#REF!</v>
      </c>
      <c r="E2484" s="20" t="e">
        <f>CONCATENATE(A2484,".",B2484,".",C2484,".",D2484)</f>
        <v>#REF!</v>
      </c>
      <c r="F2484" s="21" t="s">
        <v>3953</v>
      </c>
      <c r="G2484" s="22">
        <v>89529</v>
      </c>
      <c r="H2484" s="23" t="s">
        <v>859</v>
      </c>
      <c r="I2484" s="24" t="s">
        <v>36</v>
      </c>
      <c r="J2484" s="32"/>
      <c r="K2484" s="10"/>
      <c r="L2484" s="32"/>
      <c r="M2484" s="10"/>
      <c r="N2484" s="33"/>
      <c r="O2484" s="11">
        <f>SUM(O2485)</f>
        <v>17</v>
      </c>
    </row>
    <row r="2485" spans="1:16" hidden="1" outlineLevel="2">
      <c r="E2485" s="29"/>
      <c r="F2485" s="21"/>
      <c r="G2485" s="22"/>
      <c r="H2485" s="23"/>
      <c r="I2485" s="24"/>
      <c r="J2485" s="32"/>
      <c r="K2485" s="64"/>
      <c r="L2485" s="32"/>
      <c r="M2485" s="10"/>
      <c r="N2485" s="33">
        <v>17</v>
      </c>
      <c r="O2485" s="58">
        <f>ROUND(PRODUCT(J2485:N2485),2)</f>
        <v>17</v>
      </c>
    </row>
    <row r="2486" spans="1:16" ht="30" hidden="1" outlineLevel="1">
      <c r="A2486" s="2">
        <v>6</v>
      </c>
      <c r="B2486" s="2">
        <v>12</v>
      </c>
      <c r="C2486" s="2">
        <v>4</v>
      </c>
      <c r="D2486" s="2" t="e">
        <f>1+D2484</f>
        <v>#REF!</v>
      </c>
      <c r="E2486" s="20" t="e">
        <f>CONCATENATE(A2486,".",B2486,".",C2486,".",D2486)</f>
        <v>#REF!</v>
      </c>
      <c r="F2486" s="21" t="s">
        <v>3954</v>
      </c>
      <c r="G2486" s="22">
        <v>104167</v>
      </c>
      <c r="H2486" s="23" t="s">
        <v>862</v>
      </c>
      <c r="I2486" s="24" t="s">
        <v>36</v>
      </c>
      <c r="J2486" s="32"/>
      <c r="K2486" s="10"/>
      <c r="L2486" s="32"/>
      <c r="M2486" s="10"/>
      <c r="N2486" s="33"/>
      <c r="O2486" s="11">
        <f>SUM(O2487)</f>
        <v>4</v>
      </c>
    </row>
    <row r="2487" spans="1:16" ht="17.45" hidden="1" customHeight="1" outlineLevel="2">
      <c r="E2487" s="29"/>
      <c r="F2487" s="21"/>
      <c r="G2487" s="22"/>
      <c r="H2487" s="23"/>
      <c r="I2487" s="24"/>
      <c r="J2487" s="32"/>
      <c r="K2487" s="64"/>
      <c r="L2487" s="32"/>
      <c r="M2487" s="10"/>
      <c r="N2487" s="33">
        <v>4</v>
      </c>
      <c r="O2487" s="58">
        <f>ROUND(PRODUCT(J2487:N2487),2)</f>
        <v>4</v>
      </c>
    </row>
    <row r="2488" spans="1:16" ht="30" hidden="1" outlineLevel="1">
      <c r="A2488" s="2">
        <v>6</v>
      </c>
      <c r="B2488" s="2">
        <v>12</v>
      </c>
      <c r="C2488" s="2">
        <v>4</v>
      </c>
      <c r="D2488" s="2" t="e">
        <f>1+#REF!</f>
        <v>#REF!</v>
      </c>
      <c r="E2488" s="20" t="e">
        <f>CONCATENATE(A2488,".",B2488,".",C2488,".",D2488)</f>
        <v>#REF!</v>
      </c>
      <c r="F2488" s="21" t="s">
        <v>3955</v>
      </c>
      <c r="G2488" s="22">
        <v>89567</v>
      </c>
      <c r="H2488" s="23" t="s">
        <v>871</v>
      </c>
      <c r="I2488" s="24" t="s">
        <v>36</v>
      </c>
      <c r="J2488" s="32"/>
      <c r="K2488" s="10"/>
      <c r="L2488" s="32"/>
      <c r="M2488" s="10"/>
      <c r="N2488" s="33"/>
      <c r="O2488" s="11">
        <f>SUM(O2489)</f>
        <v>13</v>
      </c>
      <c r="P2488" s="185"/>
    </row>
    <row r="2489" spans="1:16" hidden="1" outlineLevel="2">
      <c r="E2489" s="29"/>
      <c r="F2489" s="21"/>
      <c r="G2489" s="22"/>
      <c r="H2489" s="23"/>
      <c r="I2489" s="24"/>
      <c r="J2489" s="32"/>
      <c r="K2489" s="64"/>
      <c r="L2489" s="32"/>
      <c r="M2489" s="10"/>
      <c r="N2489" s="33">
        <v>13</v>
      </c>
      <c r="O2489" s="58">
        <f>ROUND(PRODUCT(J2489:N2489),2)</f>
        <v>13</v>
      </c>
    </row>
    <row r="2490" spans="1:16" ht="45" hidden="1" outlineLevel="1">
      <c r="A2490" s="2">
        <v>6</v>
      </c>
      <c r="B2490" s="2">
        <v>12</v>
      </c>
      <c r="C2490" s="2">
        <v>4</v>
      </c>
      <c r="D2490" s="2" t="e">
        <f>1+D2488</f>
        <v>#REF!</v>
      </c>
      <c r="E2490" s="20" t="e">
        <f>CONCATENATE(A2490,".",B2490,".",C2490,".",D2490)</f>
        <v>#REF!</v>
      </c>
      <c r="F2490" s="21" t="s">
        <v>3956</v>
      </c>
      <c r="G2490" s="22">
        <v>89699</v>
      </c>
      <c r="H2490" s="23" t="s">
        <v>1164</v>
      </c>
      <c r="I2490" s="24" t="s">
        <v>36</v>
      </c>
      <c r="J2490" s="32"/>
      <c r="K2490" s="10"/>
      <c r="L2490" s="32"/>
      <c r="M2490" s="10"/>
      <c r="N2490" s="33"/>
      <c r="O2490" s="11">
        <f>SUM(O2491)</f>
        <v>2</v>
      </c>
      <c r="P2490" s="185"/>
    </row>
    <row r="2491" spans="1:16" hidden="1" outlineLevel="2">
      <c r="E2491" s="29"/>
      <c r="F2491" s="21"/>
      <c r="G2491" s="22"/>
      <c r="H2491" s="23"/>
      <c r="I2491" s="24"/>
      <c r="J2491" s="32"/>
      <c r="K2491" s="64"/>
      <c r="L2491" s="32"/>
      <c r="M2491" s="10"/>
      <c r="N2491" s="33">
        <v>2</v>
      </c>
      <c r="O2491" s="58">
        <f>ROUND(PRODUCT(J2491:N2491),2)</f>
        <v>2</v>
      </c>
    </row>
    <row r="2492" spans="1:16" collapsed="1">
      <c r="A2492" s="2">
        <v>6</v>
      </c>
      <c r="B2492" s="2">
        <v>13</v>
      </c>
      <c r="E2492" s="42" t="str">
        <f>CONCATENATE(A2492,".",B2492)</f>
        <v>6.13</v>
      </c>
      <c r="F2492" s="45" t="s">
        <v>3957</v>
      </c>
      <c r="G2492" s="13"/>
      <c r="H2492" s="14" t="s">
        <v>2022</v>
      </c>
      <c r="I2492" s="15"/>
      <c r="J2492" s="16"/>
      <c r="K2492" s="17"/>
      <c r="L2492" s="16"/>
      <c r="M2492" s="17"/>
      <c r="N2492" s="18"/>
      <c r="O2492" s="19"/>
      <c r="P2492" s="2" t="s">
        <v>3958</v>
      </c>
    </row>
    <row r="2493" spans="1:16" hidden="1" outlineLevel="1">
      <c r="A2493" s="2">
        <v>6</v>
      </c>
      <c r="B2493" s="2">
        <v>13</v>
      </c>
      <c r="C2493" s="2" t="e">
        <f>1+#REF!</f>
        <v>#REF!</v>
      </c>
      <c r="E2493" s="20" t="e">
        <f>CONCATENATE(A2493,".",B2493,".",C2493)</f>
        <v>#REF!</v>
      </c>
      <c r="F2493" s="21" t="s">
        <v>3959</v>
      </c>
      <c r="G2493" s="22">
        <v>1623</v>
      </c>
      <c r="H2493" s="23" t="s">
        <v>2075</v>
      </c>
      <c r="I2493" s="24" t="s">
        <v>36</v>
      </c>
      <c r="J2493" s="32"/>
      <c r="K2493" s="10"/>
      <c r="L2493" s="32"/>
      <c r="M2493" s="10"/>
      <c r="N2493" s="33"/>
      <c r="O2493" s="11">
        <f>SUM(O2494)</f>
        <v>1</v>
      </c>
    </row>
    <row r="2494" spans="1:16" hidden="1" outlineLevel="2">
      <c r="E2494" s="20"/>
      <c r="F2494" s="21"/>
      <c r="G2494" s="22"/>
      <c r="H2494" s="23"/>
      <c r="I2494" s="24"/>
      <c r="J2494" s="32"/>
      <c r="K2494" s="64"/>
      <c r="L2494" s="32"/>
      <c r="M2494" s="10"/>
      <c r="N2494" s="33">
        <v>1</v>
      </c>
      <c r="O2494" s="58">
        <f>ROUND(PRODUCT(J2494:N2494),2)</f>
        <v>1</v>
      </c>
    </row>
    <row r="2495" spans="1:16" ht="30" hidden="1" outlineLevel="1">
      <c r="A2495" s="2">
        <v>6</v>
      </c>
      <c r="B2495" s="2">
        <v>13</v>
      </c>
      <c r="C2495" s="2" t="e">
        <f>1+C2493</f>
        <v>#REF!</v>
      </c>
      <c r="E2495" s="20" t="e">
        <f>CONCATENATE(A2495,".",B2495,".",C2495)</f>
        <v>#REF!</v>
      </c>
      <c r="F2495" s="21" t="s">
        <v>3960</v>
      </c>
      <c r="G2495" s="22" t="s">
        <v>2027</v>
      </c>
      <c r="H2495" s="23" t="s">
        <v>2028</v>
      </c>
      <c r="I2495" s="24" t="s">
        <v>36</v>
      </c>
      <c r="J2495" s="32"/>
      <c r="K2495" s="10"/>
      <c r="L2495" s="32"/>
      <c r="M2495" s="10"/>
      <c r="N2495" s="33"/>
      <c r="O2495" s="11">
        <f>SUM(O2496)</f>
        <v>3</v>
      </c>
    </row>
    <row r="2496" spans="1:16" hidden="1" outlineLevel="2">
      <c r="E2496" s="20"/>
      <c r="F2496" s="21"/>
      <c r="G2496" s="22"/>
      <c r="H2496" s="23"/>
      <c r="I2496" s="24"/>
      <c r="J2496" s="32"/>
      <c r="K2496" s="64"/>
      <c r="L2496" s="32"/>
      <c r="M2496" s="10"/>
      <c r="N2496" s="33">
        <v>3</v>
      </c>
      <c r="O2496" s="58">
        <f>ROUND(PRODUCT(J2496:N2496),2)</f>
        <v>3</v>
      </c>
    </row>
    <row r="2497" spans="1:15" ht="30" hidden="1" outlineLevel="1">
      <c r="A2497" s="2">
        <v>6</v>
      </c>
      <c r="B2497" s="2">
        <v>13</v>
      </c>
      <c r="C2497" s="2" t="e">
        <f>1+C2495</f>
        <v>#REF!</v>
      </c>
      <c r="E2497" s="20" t="e">
        <f>CONCATENATE(A2497,".",B2497,".",C2497)</f>
        <v>#REF!</v>
      </c>
      <c r="F2497" s="21" t="s">
        <v>3961</v>
      </c>
      <c r="G2497" s="22">
        <v>97599</v>
      </c>
      <c r="H2497" s="23" t="s">
        <v>2031</v>
      </c>
      <c r="I2497" s="24" t="s">
        <v>36</v>
      </c>
      <c r="J2497" s="32"/>
      <c r="K2497" s="10"/>
      <c r="L2497" s="32"/>
      <c r="M2497" s="10"/>
      <c r="N2497" s="33"/>
      <c r="O2497" s="11">
        <f>SUM(O2498)</f>
        <v>12</v>
      </c>
    </row>
    <row r="2498" spans="1:15" hidden="1" outlineLevel="2">
      <c r="E2498" s="20"/>
      <c r="F2498" s="21"/>
      <c r="G2498" s="22"/>
      <c r="H2498" s="23"/>
      <c r="I2498" s="24"/>
      <c r="J2498" s="32"/>
      <c r="K2498" s="64"/>
      <c r="L2498" s="32"/>
      <c r="M2498" s="10"/>
      <c r="N2498" s="33">
        <v>12</v>
      </c>
      <c r="O2498" s="58">
        <f>ROUND(PRODUCT(J2498:N2498),2)</f>
        <v>12</v>
      </c>
    </row>
    <row r="2499" spans="1:15" ht="30" hidden="1" outlineLevel="1">
      <c r="A2499" s="2">
        <v>6</v>
      </c>
      <c r="B2499" s="2">
        <v>13</v>
      </c>
      <c r="C2499" s="2" t="e">
        <f>1+C2497</f>
        <v>#REF!</v>
      </c>
      <c r="E2499" s="20" t="e">
        <f>CONCATENATE(A2499,".",B2499,".",C2499)</f>
        <v>#REF!</v>
      </c>
      <c r="F2499" s="21" t="s">
        <v>3962</v>
      </c>
      <c r="G2499" s="22">
        <v>1131</v>
      </c>
      <c r="H2499" s="23" t="s">
        <v>2034</v>
      </c>
      <c r="I2499" s="24" t="s">
        <v>36</v>
      </c>
      <c r="J2499" s="32"/>
      <c r="K2499" s="10"/>
      <c r="L2499" s="32"/>
      <c r="M2499" s="10"/>
      <c r="N2499" s="33"/>
      <c r="O2499" s="11">
        <f>SUM(O2500)</f>
        <v>5</v>
      </c>
    </row>
    <row r="2500" spans="1:15" hidden="1" outlineLevel="2">
      <c r="E2500" s="20"/>
      <c r="F2500" s="21"/>
      <c r="G2500" s="22"/>
      <c r="H2500" s="23"/>
      <c r="I2500" s="24"/>
      <c r="J2500" s="32"/>
      <c r="K2500" s="64"/>
      <c r="L2500" s="32"/>
      <c r="M2500" s="10"/>
      <c r="N2500" s="33">
        <v>5</v>
      </c>
      <c r="O2500" s="58">
        <f>ROUND(PRODUCT(J2500:N2500),2)</f>
        <v>5</v>
      </c>
    </row>
    <row r="2501" spans="1:15" ht="45" hidden="1" outlineLevel="1">
      <c r="A2501" s="2">
        <v>6</v>
      </c>
      <c r="B2501" s="2">
        <v>13</v>
      </c>
      <c r="C2501" s="2" t="e">
        <f>1+C2499</f>
        <v>#REF!</v>
      </c>
      <c r="E2501" s="20" t="e">
        <f>CONCATENATE(A2501,".",B2501,".",C2501)</f>
        <v>#REF!</v>
      </c>
      <c r="F2501" s="21" t="s">
        <v>3963</v>
      </c>
      <c r="G2501" s="22">
        <v>1133</v>
      </c>
      <c r="H2501" s="23" t="s">
        <v>2037</v>
      </c>
      <c r="I2501" s="24" t="s">
        <v>36</v>
      </c>
      <c r="J2501" s="32"/>
      <c r="K2501" s="10"/>
      <c r="L2501" s="32"/>
      <c r="M2501" s="10"/>
      <c r="N2501" s="33"/>
      <c r="O2501" s="11">
        <f>SUM(O2502)</f>
        <v>2</v>
      </c>
    </row>
    <row r="2502" spans="1:15" hidden="1" outlineLevel="2">
      <c r="E2502" s="20"/>
      <c r="F2502" s="21"/>
      <c r="G2502" s="22"/>
      <c r="H2502" s="30"/>
      <c r="I2502" s="62"/>
      <c r="J2502" s="32"/>
      <c r="K2502" s="64"/>
      <c r="L2502" s="32"/>
      <c r="M2502" s="10"/>
      <c r="N2502" s="33">
        <v>2</v>
      </c>
      <c r="O2502" s="58">
        <f>ROUND(PRODUCT(J2502:N2502),2)</f>
        <v>2</v>
      </c>
    </row>
    <row r="2503" spans="1:15" hidden="1" outlineLevel="1">
      <c r="A2503" s="2">
        <v>6</v>
      </c>
      <c r="B2503" s="2">
        <v>13</v>
      </c>
      <c r="C2503" s="2" t="e">
        <f>1+C2501</f>
        <v>#REF!</v>
      </c>
      <c r="E2503" s="20" t="e">
        <f>CONCATENATE(A2503,".",B2503,".",C2503)</f>
        <v>#REF!</v>
      </c>
      <c r="F2503" s="21" t="s">
        <v>3964</v>
      </c>
      <c r="G2503" s="22">
        <v>1137</v>
      </c>
      <c r="H2503" s="23" t="s">
        <v>2040</v>
      </c>
      <c r="I2503" s="24" t="s">
        <v>144</v>
      </c>
      <c r="J2503" s="32"/>
      <c r="K2503" s="10"/>
      <c r="L2503" s="32"/>
      <c r="M2503" s="10"/>
      <c r="N2503" s="33"/>
      <c r="O2503" s="11">
        <f>SUM(O2504)</f>
        <v>36.950000000000003</v>
      </c>
    </row>
    <row r="2504" spans="1:15" hidden="1" outlineLevel="2">
      <c r="E2504" s="20"/>
      <c r="F2504" s="21"/>
      <c r="G2504" s="22"/>
      <c r="H2504" s="23"/>
      <c r="I2504" s="24"/>
      <c r="J2504" s="32"/>
      <c r="K2504" s="64"/>
      <c r="L2504" s="32"/>
      <c r="M2504" s="10"/>
      <c r="N2504" s="33">
        <v>36.950000000000003</v>
      </c>
      <c r="O2504" s="58">
        <f>ROUND(PRODUCT(J2504:N2504),2)</f>
        <v>36.950000000000003</v>
      </c>
    </row>
    <row r="2505" spans="1:15" ht="30" hidden="1" outlineLevel="1">
      <c r="A2505" s="2">
        <v>6</v>
      </c>
      <c r="B2505" s="2">
        <v>13</v>
      </c>
      <c r="C2505" s="2" t="e">
        <f>1+C2503</f>
        <v>#REF!</v>
      </c>
      <c r="E2505" s="20" t="e">
        <f>CONCATENATE(A2505,".",B2505,".",C2505)</f>
        <v>#REF!</v>
      </c>
      <c r="F2505" s="21" t="s">
        <v>3965</v>
      </c>
      <c r="G2505" s="22">
        <v>95795</v>
      </c>
      <c r="H2505" s="23" t="s">
        <v>2043</v>
      </c>
      <c r="I2505" s="24" t="s">
        <v>36</v>
      </c>
      <c r="J2505" s="32"/>
      <c r="K2505" s="10"/>
      <c r="L2505" s="32"/>
      <c r="M2505" s="10"/>
      <c r="N2505" s="33"/>
      <c r="O2505" s="11">
        <f>SUM(O2506)</f>
        <v>5</v>
      </c>
    </row>
    <row r="2506" spans="1:15" hidden="1" outlineLevel="2">
      <c r="E2506" s="20"/>
      <c r="F2506" s="21"/>
      <c r="G2506" s="22"/>
      <c r="H2506" s="23"/>
      <c r="I2506" s="24"/>
      <c r="J2506" s="32"/>
      <c r="K2506" s="64"/>
      <c r="L2506" s="32"/>
      <c r="M2506" s="10"/>
      <c r="N2506" s="33">
        <v>5</v>
      </c>
      <c r="O2506" s="58">
        <f>ROUND(PRODUCT(J2506:N2506),2)</f>
        <v>5</v>
      </c>
    </row>
    <row r="2507" spans="1:15" collapsed="1">
      <c r="A2507" s="2">
        <v>6</v>
      </c>
      <c r="B2507" s="2">
        <v>14</v>
      </c>
      <c r="E2507" s="42" t="str">
        <f>CONCATENATE(A2507,".",B2507)</f>
        <v>6.14</v>
      </c>
      <c r="F2507" s="108" t="s">
        <v>3966</v>
      </c>
      <c r="G2507" s="98"/>
      <c r="H2507" s="99" t="s">
        <v>3371</v>
      </c>
      <c r="I2507" s="15"/>
      <c r="J2507" s="16"/>
      <c r="K2507" s="17"/>
      <c r="L2507" s="16"/>
      <c r="M2507" s="17"/>
      <c r="N2507" s="18"/>
      <c r="O2507" s="19"/>
    </row>
    <row r="2508" spans="1:15" ht="45" hidden="1" outlineLevel="1">
      <c r="A2508" s="2">
        <v>6</v>
      </c>
      <c r="B2508" s="2">
        <v>14</v>
      </c>
      <c r="C2508" s="2">
        <v>1</v>
      </c>
      <c r="E2508" s="20" t="str">
        <f>CONCATENATE(A2508,".",B2508,".",C2508)</f>
        <v>6.14.1</v>
      </c>
      <c r="F2508" s="21" t="s">
        <v>3967</v>
      </c>
      <c r="G2508" s="22">
        <v>101795</v>
      </c>
      <c r="H2508" s="23" t="s">
        <v>2581</v>
      </c>
      <c r="I2508" s="24" t="s">
        <v>36</v>
      </c>
      <c r="J2508" s="32"/>
      <c r="K2508" s="10"/>
      <c r="L2508" s="32"/>
      <c r="M2508" s="10"/>
      <c r="N2508" s="33"/>
      <c r="O2508" s="11">
        <f>SUM(O2509)</f>
        <v>2</v>
      </c>
    </row>
    <row r="2509" spans="1:15" hidden="1" outlineLevel="2">
      <c r="E2509" s="59"/>
      <c r="F2509" s="60"/>
      <c r="G2509" s="34"/>
      <c r="H2509" s="30"/>
      <c r="I2509" s="35"/>
      <c r="J2509" s="41"/>
      <c r="K2509" s="10"/>
      <c r="L2509" s="32"/>
      <c r="M2509" s="10"/>
      <c r="N2509" s="33">
        <v>2</v>
      </c>
      <c r="O2509" s="31">
        <f>ROUND(PRODUCT(J2509:N2509),2)</f>
        <v>2</v>
      </c>
    </row>
    <row r="2510" spans="1:15" hidden="1" outlineLevel="1">
      <c r="A2510" s="2">
        <v>6</v>
      </c>
      <c r="B2510" s="2">
        <v>14</v>
      </c>
      <c r="C2510" s="2">
        <f>1+C2508</f>
        <v>2</v>
      </c>
      <c r="E2510" s="20" t="str">
        <f>CONCATENATE(A2510,".",B2510,".",C2510)</f>
        <v>6.14.2</v>
      </c>
      <c r="F2510" s="21" t="s">
        <v>3968</v>
      </c>
      <c r="G2510" s="22">
        <v>98302</v>
      </c>
      <c r="H2510" s="23" t="s">
        <v>2578</v>
      </c>
      <c r="I2510" s="24" t="s">
        <v>36</v>
      </c>
      <c r="J2510" s="32"/>
      <c r="K2510" s="10"/>
      <c r="L2510" s="32"/>
      <c r="M2510" s="10"/>
      <c r="N2510" s="33"/>
      <c r="O2510" s="11">
        <f>SUM(O2511)</f>
        <v>2</v>
      </c>
    </row>
    <row r="2511" spans="1:15" hidden="1" outlineLevel="2">
      <c r="E2511" s="59"/>
      <c r="F2511" s="60"/>
      <c r="G2511" s="34"/>
      <c r="H2511" s="30"/>
      <c r="I2511" s="35"/>
      <c r="J2511" s="41"/>
      <c r="K2511" s="10"/>
      <c r="L2511" s="32"/>
      <c r="M2511" s="10"/>
      <c r="N2511" s="33">
        <v>2</v>
      </c>
      <c r="O2511" s="31">
        <f>ROUND(PRODUCT(J2511:N2511),2)</f>
        <v>2</v>
      </c>
    </row>
    <row r="2512" spans="1:15" ht="30" hidden="1" outlineLevel="1">
      <c r="A2512" s="2">
        <v>6</v>
      </c>
      <c r="B2512" s="2">
        <v>14</v>
      </c>
      <c r="C2512" s="2">
        <f>1+C2510</f>
        <v>3</v>
      </c>
      <c r="E2512" s="20" t="str">
        <f>CONCATENATE(A2512,".",B2512,".",C2512)</f>
        <v>6.14.3</v>
      </c>
      <c r="F2512" s="21" t="s">
        <v>3969</v>
      </c>
      <c r="G2512" s="22">
        <v>91939</v>
      </c>
      <c r="H2512" s="23" t="s">
        <v>2353</v>
      </c>
      <c r="I2512" s="24" t="s">
        <v>36</v>
      </c>
      <c r="J2512" s="32"/>
      <c r="K2512" s="10"/>
      <c r="L2512" s="32"/>
      <c r="M2512" s="10"/>
      <c r="N2512" s="33"/>
      <c r="O2512" s="11">
        <f>SUM(O2513)</f>
        <v>3</v>
      </c>
    </row>
    <row r="2513" spans="1:16" hidden="1" outlineLevel="2">
      <c r="E2513" s="59"/>
      <c r="F2513" s="60"/>
      <c r="G2513" s="34"/>
      <c r="H2513" s="30"/>
      <c r="I2513" s="35"/>
      <c r="J2513" s="41"/>
      <c r="K2513" s="10"/>
      <c r="L2513" s="32"/>
      <c r="M2513" s="10"/>
      <c r="N2513" s="33">
        <v>3</v>
      </c>
      <c r="O2513" s="31">
        <f>ROUND(PRODUCT(J2513:N2513),2)</f>
        <v>3</v>
      </c>
    </row>
    <row r="2514" spans="1:16" ht="30" hidden="1" outlineLevel="1">
      <c r="A2514" s="2">
        <v>6</v>
      </c>
      <c r="B2514" s="2">
        <v>14</v>
      </c>
      <c r="C2514" s="2">
        <f>1+C2512</f>
        <v>4</v>
      </c>
      <c r="E2514" s="20" t="str">
        <f>CONCATENATE(A2514,".",B2514,".",C2514)</f>
        <v>6.14.4</v>
      </c>
      <c r="F2514" s="21" t="s">
        <v>3970</v>
      </c>
      <c r="G2514" s="22">
        <v>91936</v>
      </c>
      <c r="H2514" s="23" t="s">
        <v>540</v>
      </c>
      <c r="I2514" s="24" t="s">
        <v>36</v>
      </c>
      <c r="J2514" s="32"/>
      <c r="K2514" s="10"/>
      <c r="L2514" s="32"/>
      <c r="M2514" s="10"/>
      <c r="N2514" s="33"/>
      <c r="O2514" s="11">
        <f>SUM(O2515)</f>
        <v>10</v>
      </c>
    </row>
    <row r="2515" spans="1:16" hidden="1" outlineLevel="2">
      <c r="E2515" s="59"/>
      <c r="F2515" s="60"/>
      <c r="G2515" s="34"/>
      <c r="H2515" s="30"/>
      <c r="I2515" s="35"/>
      <c r="J2515" s="41"/>
      <c r="K2515" s="10"/>
      <c r="L2515" s="32"/>
      <c r="M2515" s="10"/>
      <c r="N2515" s="33">
        <v>10</v>
      </c>
      <c r="O2515" s="31">
        <f>ROUND(PRODUCT(J2515:N2515),2)</f>
        <v>10</v>
      </c>
    </row>
    <row r="2516" spans="1:16" ht="30" hidden="1" outlineLevel="1">
      <c r="A2516" s="2">
        <v>6</v>
      </c>
      <c r="B2516" s="2">
        <v>14</v>
      </c>
      <c r="C2516" s="2">
        <f>1+C2514</f>
        <v>5</v>
      </c>
      <c r="E2516" s="20" t="str">
        <f>CONCATENATE(A2516,".",B2516,".",C2516)</f>
        <v>6.14.5</v>
      </c>
      <c r="F2516" s="21" t="s">
        <v>3971</v>
      </c>
      <c r="G2516" s="22">
        <v>91876</v>
      </c>
      <c r="H2516" s="23" t="s">
        <v>549</v>
      </c>
      <c r="I2516" s="24" t="s">
        <v>36</v>
      </c>
      <c r="J2516" s="32"/>
      <c r="K2516" s="10"/>
      <c r="L2516" s="32"/>
      <c r="M2516" s="10"/>
      <c r="N2516" s="33"/>
      <c r="O2516" s="11">
        <f>SUM(O2517)</f>
        <v>68</v>
      </c>
    </row>
    <row r="2517" spans="1:16" hidden="1" outlineLevel="2">
      <c r="E2517" s="59"/>
      <c r="F2517" s="60"/>
      <c r="G2517" s="34"/>
      <c r="H2517" s="30"/>
      <c r="I2517" s="35"/>
      <c r="J2517" s="41"/>
      <c r="K2517" s="10"/>
      <c r="L2517" s="32"/>
      <c r="M2517" s="10"/>
      <c r="N2517" s="33">
        <v>68</v>
      </c>
      <c r="O2517" s="31">
        <f>ROUND(PRODUCT(J2517:N2517),2)</f>
        <v>68</v>
      </c>
    </row>
    <row r="2518" spans="1:16" ht="45" hidden="1" outlineLevel="1">
      <c r="A2518" s="2">
        <v>6</v>
      </c>
      <c r="B2518" s="2">
        <v>14</v>
      </c>
      <c r="C2518" s="2">
        <f>1+C2516</f>
        <v>6</v>
      </c>
      <c r="E2518" s="20" t="str">
        <f>CONCATENATE(A2518,".",B2518,".",C2518)</f>
        <v>6.14.6</v>
      </c>
      <c r="F2518" s="21" t="s">
        <v>3972</v>
      </c>
      <c r="G2518" s="22">
        <v>91176</v>
      </c>
      <c r="H2518" s="23" t="s">
        <v>3973</v>
      </c>
      <c r="I2518" s="24" t="s">
        <v>144</v>
      </c>
      <c r="J2518" s="32"/>
      <c r="K2518" s="10"/>
      <c r="L2518" s="32"/>
      <c r="M2518" s="10"/>
      <c r="N2518" s="33"/>
      <c r="O2518" s="11">
        <f>SUM(O2519)</f>
        <v>260</v>
      </c>
    </row>
    <row r="2519" spans="1:16" hidden="1" outlineLevel="2">
      <c r="E2519" s="59"/>
      <c r="F2519" s="60"/>
      <c r="G2519" s="34"/>
      <c r="H2519" s="30"/>
      <c r="I2519" s="35"/>
      <c r="J2519" s="41"/>
      <c r="K2519" s="10"/>
      <c r="L2519" s="32"/>
      <c r="M2519" s="10"/>
      <c r="N2519" s="33">
        <v>260</v>
      </c>
      <c r="O2519" s="31">
        <f>ROUND(PRODUCT(J2519:N2519),2)</f>
        <v>260</v>
      </c>
    </row>
    <row r="2520" spans="1:16" ht="30" hidden="1" outlineLevel="1">
      <c r="A2520" s="2">
        <v>6</v>
      </c>
      <c r="B2520" s="2">
        <v>14</v>
      </c>
      <c r="C2520" s="2">
        <f>1+C2518</f>
        <v>7</v>
      </c>
      <c r="E2520" s="20" t="str">
        <f>CONCATENATE(A2520,".",B2520,".",C2520)</f>
        <v>6.14.7</v>
      </c>
      <c r="F2520" s="21" t="s">
        <v>3974</v>
      </c>
      <c r="G2520" s="22">
        <v>91864</v>
      </c>
      <c r="H2520" s="23" t="s">
        <v>3374</v>
      </c>
      <c r="I2520" s="24" t="s">
        <v>144</v>
      </c>
      <c r="J2520" s="32"/>
      <c r="K2520" s="10"/>
      <c r="L2520" s="32"/>
      <c r="M2520" s="10"/>
      <c r="N2520" s="33"/>
      <c r="O2520" s="11">
        <f>SUM(O2521)</f>
        <v>252.8</v>
      </c>
    </row>
    <row r="2521" spans="1:16" hidden="1" outlineLevel="2">
      <c r="E2521" s="59"/>
      <c r="F2521" s="60"/>
      <c r="G2521" s="34"/>
      <c r="H2521" s="30"/>
      <c r="I2521" s="35"/>
      <c r="J2521" s="41"/>
      <c r="K2521" s="10"/>
      <c r="L2521" s="32"/>
      <c r="M2521" s="10"/>
      <c r="N2521" s="33">
        <v>252.8</v>
      </c>
      <c r="O2521" s="31">
        <f>ROUND(PRODUCT(J2521:N2521),2)</f>
        <v>252.8</v>
      </c>
    </row>
    <row r="2522" spans="1:16" hidden="1" outlineLevel="1">
      <c r="A2522" s="2">
        <v>6</v>
      </c>
      <c r="B2522" s="2">
        <v>14</v>
      </c>
      <c r="C2522" s="2">
        <f>1+C2520</f>
        <v>8</v>
      </c>
      <c r="E2522" s="20" t="str">
        <f>CONCATENATE(A2522,".",B2522,".",C2522)</f>
        <v>6.14.8</v>
      </c>
      <c r="F2522" s="21" t="s">
        <v>3975</v>
      </c>
      <c r="G2522" s="22" t="s">
        <v>3976</v>
      </c>
      <c r="H2522" s="23" t="s">
        <v>3977</v>
      </c>
      <c r="I2522" s="24" t="s">
        <v>36</v>
      </c>
      <c r="J2522" s="32"/>
      <c r="K2522" s="10"/>
      <c r="L2522" s="32"/>
      <c r="M2522" s="10"/>
      <c r="N2522" s="33"/>
      <c r="O2522" s="11">
        <f>SUM(O2523)</f>
        <v>1</v>
      </c>
      <c r="P2522" s="185" t="e">
        <f>VLOOKUP(G2522,[13]COMPOSIÇÕES!$A$3:$F$2740,6,FALSE())</f>
        <v>#N/A</v>
      </c>
    </row>
    <row r="2523" spans="1:16" hidden="1" outlineLevel="2">
      <c r="E2523" s="59"/>
      <c r="F2523" s="60"/>
      <c r="G2523" s="34"/>
      <c r="H2523" s="30"/>
      <c r="I2523" s="35"/>
      <c r="J2523" s="41"/>
      <c r="K2523" s="10"/>
      <c r="L2523" s="32"/>
      <c r="M2523" s="10"/>
      <c r="N2523" s="33">
        <v>1</v>
      </c>
      <c r="O2523" s="31">
        <f>ROUND(PRODUCT(J2523:N2523),2)</f>
        <v>1</v>
      </c>
    </row>
    <row r="2524" spans="1:16" hidden="1" outlineLevel="1">
      <c r="A2524" s="2">
        <v>6</v>
      </c>
      <c r="B2524" s="2">
        <v>14</v>
      </c>
      <c r="C2524" s="2">
        <f>1+C2522</f>
        <v>9</v>
      </c>
      <c r="E2524" s="20" t="str">
        <f>CONCATENATE(A2524,".",B2524,".",C2524)</f>
        <v>6.14.9</v>
      </c>
      <c r="F2524" s="21" t="s">
        <v>3978</v>
      </c>
      <c r="G2524" s="22" t="s">
        <v>3979</v>
      </c>
      <c r="H2524" s="23" t="s">
        <v>3476</v>
      </c>
      <c r="I2524" s="24" t="s">
        <v>36</v>
      </c>
      <c r="J2524" s="32"/>
      <c r="K2524" s="10"/>
      <c r="L2524" s="32"/>
      <c r="M2524" s="10"/>
      <c r="N2524" s="33"/>
      <c r="O2524" s="11">
        <f>SUM(O2525)</f>
        <v>8</v>
      </c>
      <c r="P2524" s="185" t="e">
        <f>VLOOKUP(G2524,[13]COMPOSIÇÕES!$A$3:$F$2740,6,FALSE())</f>
        <v>#N/A</v>
      </c>
    </row>
    <row r="2525" spans="1:16" hidden="1" outlineLevel="2">
      <c r="E2525" s="59"/>
      <c r="F2525" s="60"/>
      <c r="G2525" s="34"/>
      <c r="H2525" s="30"/>
      <c r="I2525" s="35"/>
      <c r="J2525" s="41"/>
      <c r="K2525" s="10"/>
      <c r="L2525" s="32"/>
      <c r="M2525" s="10"/>
      <c r="N2525" s="33">
        <v>8</v>
      </c>
      <c r="O2525" s="31">
        <f>ROUND(PRODUCT(J2525:N2525),2)</f>
        <v>8</v>
      </c>
    </row>
    <row r="2526" spans="1:16" hidden="1" outlineLevel="1">
      <c r="A2526" s="2">
        <v>6</v>
      </c>
      <c r="B2526" s="2">
        <v>14</v>
      </c>
      <c r="C2526" s="2">
        <f>1+C2524</f>
        <v>10</v>
      </c>
      <c r="E2526" s="20" t="str">
        <f>CONCATENATE(A2526,".",B2526,".",C2526)</f>
        <v>6.14.10</v>
      </c>
      <c r="F2526" s="21" t="s">
        <v>3980</v>
      </c>
      <c r="G2526" s="22" t="s">
        <v>3981</v>
      </c>
      <c r="H2526" s="23" t="s">
        <v>3479</v>
      </c>
      <c r="I2526" s="24" t="s">
        <v>36</v>
      </c>
      <c r="J2526" s="32"/>
      <c r="K2526" s="10"/>
      <c r="L2526" s="32"/>
      <c r="M2526" s="10"/>
      <c r="N2526" s="33"/>
      <c r="O2526" s="11">
        <f>SUM(O2527)</f>
        <v>1</v>
      </c>
      <c r="P2526" s="185" t="e">
        <f>VLOOKUP(G2526,[13]COMPOSIÇÕES!$A$3:$F$2740,6,FALSE())</f>
        <v>#N/A</v>
      </c>
    </row>
    <row r="2527" spans="1:16" hidden="1" outlineLevel="2">
      <c r="E2527" s="59"/>
      <c r="F2527" s="60"/>
      <c r="G2527" s="34"/>
      <c r="H2527" s="30"/>
      <c r="I2527" s="35"/>
      <c r="J2527" s="41"/>
      <c r="K2527" s="10"/>
      <c r="L2527" s="32"/>
      <c r="M2527" s="10"/>
      <c r="N2527" s="33">
        <v>1</v>
      </c>
      <c r="O2527" s="31">
        <f>ROUND(PRODUCT(J2527:N2527),2)</f>
        <v>1</v>
      </c>
    </row>
    <row r="2528" spans="1:16" hidden="1" outlineLevel="1">
      <c r="A2528" s="2">
        <v>6</v>
      </c>
      <c r="B2528" s="2">
        <v>14</v>
      </c>
      <c r="C2528" s="2">
        <f>1+C2526</f>
        <v>11</v>
      </c>
      <c r="E2528" s="20" t="str">
        <f>CONCATENATE(A2528,".",B2528,".",C2528)</f>
        <v>6.14.11</v>
      </c>
      <c r="F2528" s="21" t="s">
        <v>3982</v>
      </c>
      <c r="G2528" s="22" t="s">
        <v>3405</v>
      </c>
      <c r="H2528" s="23" t="s">
        <v>3406</v>
      </c>
      <c r="I2528" s="24" t="s">
        <v>36</v>
      </c>
      <c r="J2528" s="32"/>
      <c r="K2528" s="10"/>
      <c r="L2528" s="32"/>
      <c r="M2528" s="10"/>
      <c r="N2528" s="33"/>
      <c r="O2528" s="11">
        <f>SUM(O2529)</f>
        <v>1</v>
      </c>
      <c r="P2528" s="185" t="e">
        <f>VLOOKUP(G2528,[13]COMPOSIÇÕES!$A$3:$F$2740,6,FALSE())</f>
        <v>#N/A</v>
      </c>
    </row>
    <row r="2529" spans="1:16" hidden="1" outlineLevel="2">
      <c r="E2529" s="59"/>
      <c r="F2529" s="60"/>
      <c r="G2529" s="34"/>
      <c r="H2529" s="30"/>
      <c r="I2529" s="35"/>
      <c r="J2529" s="41"/>
      <c r="K2529" s="10"/>
      <c r="L2529" s="32"/>
      <c r="M2529" s="10"/>
      <c r="N2529" s="33">
        <v>1</v>
      </c>
      <c r="O2529" s="31">
        <f>ROUND(PRODUCT(J2529:N2529),2)</f>
        <v>1</v>
      </c>
    </row>
    <row r="2530" spans="1:16" hidden="1" outlineLevel="1">
      <c r="A2530" s="2">
        <v>6</v>
      </c>
      <c r="B2530" s="2">
        <v>14</v>
      </c>
      <c r="C2530" s="2">
        <f>1+C2528</f>
        <v>12</v>
      </c>
      <c r="E2530" s="20" t="str">
        <f>CONCATENATE(A2530,".",B2530,".",C2530)</f>
        <v>6.14.12</v>
      </c>
      <c r="F2530" s="21" t="s">
        <v>3983</v>
      </c>
      <c r="G2530" s="22" t="s">
        <v>3411</v>
      </c>
      <c r="H2530" s="23" t="s">
        <v>3412</v>
      </c>
      <c r="I2530" s="24" t="s">
        <v>36</v>
      </c>
      <c r="J2530" s="32"/>
      <c r="K2530" s="10"/>
      <c r="L2530" s="32"/>
      <c r="M2530" s="10"/>
      <c r="N2530" s="33"/>
      <c r="O2530" s="11">
        <f>SUM(O2531)</f>
        <v>6</v>
      </c>
      <c r="P2530" s="185" t="e">
        <f>VLOOKUP(G2530,[13]COMPOSIÇÕES!$A$3:$F$2740,6,FALSE())</f>
        <v>#N/A</v>
      </c>
    </row>
    <row r="2531" spans="1:16" hidden="1" outlineLevel="2">
      <c r="E2531" s="59"/>
      <c r="F2531" s="60"/>
      <c r="G2531" s="34"/>
      <c r="H2531" s="30"/>
      <c r="I2531" s="35"/>
      <c r="J2531" s="41"/>
      <c r="K2531" s="10"/>
      <c r="L2531" s="32"/>
      <c r="M2531" s="10"/>
      <c r="N2531" s="33">
        <v>6</v>
      </c>
      <c r="O2531" s="31">
        <f>ROUND(PRODUCT(J2531:N2531),2)</f>
        <v>6</v>
      </c>
    </row>
    <row r="2532" spans="1:16" hidden="1" outlineLevel="1">
      <c r="A2532" s="2">
        <v>6</v>
      </c>
      <c r="B2532" s="2">
        <v>14</v>
      </c>
      <c r="C2532" s="2">
        <f>1+C2530</f>
        <v>13</v>
      </c>
      <c r="E2532" s="20" t="str">
        <f>CONCATENATE(A2532,".",B2532,".",C2532)</f>
        <v>6.14.13</v>
      </c>
      <c r="F2532" s="21" t="s">
        <v>3984</v>
      </c>
      <c r="G2532" s="22" t="s">
        <v>3985</v>
      </c>
      <c r="H2532" s="23" t="s">
        <v>3986</v>
      </c>
      <c r="I2532" s="24" t="s">
        <v>36</v>
      </c>
      <c r="J2532" s="32"/>
      <c r="K2532" s="10"/>
      <c r="L2532" s="32"/>
      <c r="M2532" s="10"/>
      <c r="N2532" s="33"/>
      <c r="O2532" s="11">
        <f>SUM(O2533)</f>
        <v>1</v>
      </c>
      <c r="P2532" s="185" t="e">
        <f>VLOOKUP(G2532,[13]COMPOSIÇÕES!$A$3:$F$2740,6,FALSE())</f>
        <v>#N/A</v>
      </c>
    </row>
    <row r="2533" spans="1:16" hidden="1" outlineLevel="2">
      <c r="E2533" s="59"/>
      <c r="F2533" s="60"/>
      <c r="G2533" s="34"/>
      <c r="H2533" s="30"/>
      <c r="I2533" s="35"/>
      <c r="J2533" s="41"/>
      <c r="K2533" s="10"/>
      <c r="L2533" s="32"/>
      <c r="M2533" s="10"/>
      <c r="N2533" s="33">
        <v>1</v>
      </c>
      <c r="O2533" s="31">
        <f>ROUND(PRODUCT(J2533:N2533),2)</f>
        <v>1</v>
      </c>
    </row>
    <row r="2534" spans="1:16" hidden="1" outlineLevel="1">
      <c r="A2534" s="2">
        <v>6</v>
      </c>
      <c r="B2534" s="2">
        <v>14</v>
      </c>
      <c r="C2534" s="2">
        <f>1+C2532</f>
        <v>14</v>
      </c>
      <c r="E2534" s="20" t="str">
        <f>CONCATENATE(A2534,".",B2534,".",C2534)</f>
        <v>6.14.14</v>
      </c>
      <c r="F2534" s="21" t="s">
        <v>3987</v>
      </c>
      <c r="G2534" s="22" t="s">
        <v>3419</v>
      </c>
      <c r="H2534" s="23" t="s">
        <v>3420</v>
      </c>
      <c r="I2534" s="24" t="s">
        <v>36</v>
      </c>
      <c r="J2534" s="32"/>
      <c r="K2534" s="10"/>
      <c r="L2534" s="32"/>
      <c r="M2534" s="10"/>
      <c r="N2534" s="33"/>
      <c r="O2534" s="11">
        <f>SUM(O2535)</f>
        <v>1</v>
      </c>
      <c r="P2534" s="185" t="e">
        <f>VLOOKUP(G2534,[13]COMPOSIÇÕES!$A$3:$F$2740,6,FALSE())</f>
        <v>#N/A</v>
      </c>
    </row>
    <row r="2535" spans="1:16" hidden="1" outlineLevel="2">
      <c r="E2535" s="59"/>
      <c r="F2535" s="60"/>
      <c r="G2535" s="34"/>
      <c r="H2535" s="30"/>
      <c r="I2535" s="35"/>
      <c r="J2535" s="41"/>
      <c r="K2535" s="10"/>
      <c r="L2535" s="32"/>
      <c r="M2535" s="10"/>
      <c r="N2535" s="33">
        <v>1</v>
      </c>
      <c r="O2535" s="31">
        <f>ROUND(PRODUCT(J2535:N2535),2)</f>
        <v>1</v>
      </c>
    </row>
    <row r="2536" spans="1:16" hidden="1" outlineLevel="1">
      <c r="A2536" s="2">
        <v>6</v>
      </c>
      <c r="B2536" s="2">
        <v>14</v>
      </c>
      <c r="C2536" s="2">
        <f>1+C2534</f>
        <v>15</v>
      </c>
      <c r="E2536" s="20" t="str">
        <f>CONCATENATE(A2536,".",B2536,".",C2536)</f>
        <v>6.14.15</v>
      </c>
      <c r="F2536" s="21" t="s">
        <v>3988</v>
      </c>
      <c r="G2536" s="22" t="s">
        <v>3422</v>
      </c>
      <c r="H2536" s="23" t="s">
        <v>3423</v>
      </c>
      <c r="I2536" s="24" t="s">
        <v>36</v>
      </c>
      <c r="J2536" s="32"/>
      <c r="K2536" s="10"/>
      <c r="L2536" s="32"/>
      <c r="M2536" s="10"/>
      <c r="N2536" s="33"/>
      <c r="O2536" s="11">
        <f>SUM(O2537)</f>
        <v>50</v>
      </c>
      <c r="P2536" s="185" t="e">
        <f>VLOOKUP(G2536,[13]COMPOSIÇÕES!$A$3:$F$2740,6,FALSE())</f>
        <v>#N/A</v>
      </c>
    </row>
    <row r="2537" spans="1:16" hidden="1" outlineLevel="2">
      <c r="E2537" s="59"/>
      <c r="F2537" s="60"/>
      <c r="G2537" s="34"/>
      <c r="H2537" s="30"/>
      <c r="I2537" s="35"/>
      <c r="J2537" s="41"/>
      <c r="K2537" s="10"/>
      <c r="L2537" s="32"/>
      <c r="M2537" s="10"/>
      <c r="N2537" s="33">
        <v>50</v>
      </c>
      <c r="O2537" s="31">
        <f>ROUND(PRODUCT(J2537:N2537),2)</f>
        <v>50</v>
      </c>
    </row>
    <row r="2538" spans="1:16" hidden="1" outlineLevel="1">
      <c r="A2538" s="2">
        <v>6</v>
      </c>
      <c r="B2538" s="2">
        <v>14</v>
      </c>
      <c r="C2538" s="2">
        <f>1+C2536</f>
        <v>16</v>
      </c>
      <c r="E2538" s="20" t="str">
        <f>CONCATENATE(A2538,".",B2538,".",C2538)</f>
        <v>6.14.16</v>
      </c>
      <c r="F2538" s="21" t="s">
        <v>3989</v>
      </c>
      <c r="G2538" s="22" t="s">
        <v>3431</v>
      </c>
      <c r="H2538" s="23" t="s">
        <v>585</v>
      </c>
      <c r="I2538" s="24" t="s">
        <v>36</v>
      </c>
      <c r="J2538" s="32"/>
      <c r="K2538" s="10"/>
      <c r="L2538" s="32"/>
      <c r="M2538" s="10"/>
      <c r="N2538" s="33"/>
      <c r="O2538" s="11">
        <f>SUM(O2539)</f>
        <v>2</v>
      </c>
      <c r="P2538" s="185" t="e">
        <f>VLOOKUP(G2538,[13]COMPOSIÇÕES!$A$3:$F$2740,6,FALSE())</f>
        <v>#N/A</v>
      </c>
    </row>
    <row r="2539" spans="1:16" hidden="1" outlineLevel="2">
      <c r="E2539" s="59"/>
      <c r="F2539" s="60"/>
      <c r="G2539" s="34"/>
      <c r="H2539" s="30"/>
      <c r="I2539" s="35"/>
      <c r="J2539" s="41"/>
      <c r="K2539" s="10"/>
      <c r="L2539" s="32"/>
      <c r="M2539" s="10"/>
      <c r="N2539" s="33">
        <f>1+1</f>
        <v>2</v>
      </c>
      <c r="O2539" s="31">
        <f>ROUND(PRODUCT(J2539:N2539),2)</f>
        <v>2</v>
      </c>
    </row>
    <row r="2540" spans="1:16" hidden="1" outlineLevel="1">
      <c r="A2540" s="2">
        <v>6</v>
      </c>
      <c r="B2540" s="2">
        <v>14</v>
      </c>
      <c r="C2540" s="2">
        <f>1+C2538</f>
        <v>17</v>
      </c>
      <c r="E2540" s="20" t="str">
        <f>CONCATENATE(A2540,".",B2540,".",C2540)</f>
        <v>6.14.17</v>
      </c>
      <c r="F2540" s="21" t="s">
        <v>3990</v>
      </c>
      <c r="G2540" s="22" t="s">
        <v>3433</v>
      </c>
      <c r="H2540" s="23" t="s">
        <v>3434</v>
      </c>
      <c r="I2540" s="24" t="s">
        <v>36</v>
      </c>
      <c r="J2540" s="32"/>
      <c r="K2540" s="10"/>
      <c r="L2540" s="32"/>
      <c r="M2540" s="10"/>
      <c r="N2540" s="33"/>
      <c r="O2540" s="11">
        <f>SUM(O2541)</f>
        <v>1</v>
      </c>
      <c r="P2540" s="185" t="e">
        <f>VLOOKUP(G2540,[13]COMPOSIÇÕES!$A$3:$F$2740,6,FALSE())</f>
        <v>#N/A</v>
      </c>
    </row>
    <row r="2541" spans="1:16" hidden="1" outlineLevel="2">
      <c r="E2541" s="59"/>
      <c r="F2541" s="60"/>
      <c r="G2541" s="34"/>
      <c r="H2541" s="30"/>
      <c r="I2541" s="35"/>
      <c r="J2541" s="41"/>
      <c r="K2541" s="10"/>
      <c r="L2541" s="32"/>
      <c r="M2541" s="10"/>
      <c r="N2541" s="33">
        <v>1</v>
      </c>
      <c r="O2541" s="31">
        <f>ROUND(PRODUCT(J2541:N2541),2)</f>
        <v>1</v>
      </c>
    </row>
    <row r="2542" spans="1:16" hidden="1" outlineLevel="1">
      <c r="A2542" s="2">
        <v>6</v>
      </c>
      <c r="B2542" s="2">
        <v>14</v>
      </c>
      <c r="C2542" s="2">
        <f>1+C2540</f>
        <v>18</v>
      </c>
      <c r="E2542" s="20" t="str">
        <f>CONCATENATE(A2542,".",B2542,".",C2542)</f>
        <v>6.14.18</v>
      </c>
      <c r="F2542" s="21" t="s">
        <v>3991</v>
      </c>
      <c r="G2542" s="22" t="s">
        <v>3436</v>
      </c>
      <c r="H2542" s="23" t="s">
        <v>3437</v>
      </c>
      <c r="I2542" s="24" t="s">
        <v>36</v>
      </c>
      <c r="J2542" s="32"/>
      <c r="K2542" s="10"/>
      <c r="L2542" s="32"/>
      <c r="M2542" s="10"/>
      <c r="N2542" s="33"/>
      <c r="O2542" s="11">
        <f>SUM(O2543)</f>
        <v>1</v>
      </c>
      <c r="P2542" s="185" t="e">
        <f>VLOOKUP(G2542,[13]COMPOSIÇÕES!$A$3:$F$2740,6,FALSE())</f>
        <v>#N/A</v>
      </c>
    </row>
    <row r="2543" spans="1:16" hidden="1" outlineLevel="2">
      <c r="E2543" s="59"/>
      <c r="F2543" s="60"/>
      <c r="G2543" s="34"/>
      <c r="H2543" s="30"/>
      <c r="I2543" s="35"/>
      <c r="J2543" s="41"/>
      <c r="K2543" s="10"/>
      <c r="L2543" s="32"/>
      <c r="M2543" s="10"/>
      <c r="N2543" s="33">
        <v>1</v>
      </c>
      <c r="O2543" s="31">
        <f>ROUND(PRODUCT(J2543:N2543),2)</f>
        <v>1</v>
      </c>
    </row>
    <row r="2544" spans="1:16" hidden="1" outlineLevel="1">
      <c r="A2544" s="2">
        <v>6</v>
      </c>
      <c r="B2544" s="2">
        <v>14</v>
      </c>
      <c r="C2544" s="2">
        <f>1+C2542</f>
        <v>19</v>
      </c>
      <c r="E2544" s="20" t="str">
        <f>CONCATENATE(A2544,".",B2544,".",C2544)</f>
        <v>6.14.19</v>
      </c>
      <c r="F2544" s="21" t="s">
        <v>3992</v>
      </c>
      <c r="G2544" s="22" t="s">
        <v>3993</v>
      </c>
      <c r="H2544" s="23" t="s">
        <v>3994</v>
      </c>
      <c r="I2544" s="24" t="s">
        <v>36</v>
      </c>
      <c r="J2544" s="32"/>
      <c r="K2544" s="10"/>
      <c r="L2544" s="32"/>
      <c r="M2544" s="10"/>
      <c r="N2544" s="33"/>
      <c r="O2544" s="11">
        <f>SUM(O2545)</f>
        <v>260</v>
      </c>
      <c r="P2544" s="185" t="e">
        <f>VLOOKUP(G2544,[13]COMPOSIÇÕES!$A$3:$F$2740,6,FALSE())</f>
        <v>#N/A</v>
      </c>
    </row>
    <row r="2545" spans="1:16" hidden="1" outlineLevel="2">
      <c r="E2545" s="59"/>
      <c r="F2545" s="60"/>
      <c r="G2545" s="34"/>
      <c r="H2545" s="30"/>
      <c r="I2545" s="35"/>
      <c r="J2545" s="41"/>
      <c r="K2545" s="10"/>
      <c r="L2545" s="32"/>
      <c r="M2545" s="10"/>
      <c r="N2545" s="33">
        <v>260</v>
      </c>
      <c r="O2545" s="31">
        <f>ROUND(PRODUCT(J2545:N2545),2)</f>
        <v>260</v>
      </c>
    </row>
    <row r="2546" spans="1:16" hidden="1" outlineLevel="1">
      <c r="A2546" s="2">
        <v>6</v>
      </c>
      <c r="B2546" s="2">
        <v>14</v>
      </c>
      <c r="C2546" s="2">
        <f>1+C2544</f>
        <v>20</v>
      </c>
      <c r="E2546" s="20" t="str">
        <f>CONCATENATE(A2546,".",B2546,".",C2546)</f>
        <v>6.14.20</v>
      </c>
      <c r="F2546" s="21" t="s">
        <v>3995</v>
      </c>
      <c r="G2546" s="22" t="s">
        <v>3996</v>
      </c>
      <c r="H2546" s="23" t="s">
        <v>3997</v>
      </c>
      <c r="I2546" s="24" t="s">
        <v>36</v>
      </c>
      <c r="J2546" s="32"/>
      <c r="K2546" s="10"/>
      <c r="L2546" s="32"/>
      <c r="M2546" s="10"/>
      <c r="N2546" s="33"/>
      <c r="O2546" s="11">
        <f>SUM(O2547)</f>
        <v>260</v>
      </c>
      <c r="P2546" s="185" t="e">
        <f>VLOOKUP(G2546,[13]COMPOSIÇÕES!$A$3:$F$2740,6,FALSE())</f>
        <v>#N/A</v>
      </c>
    </row>
    <row r="2547" spans="1:16" hidden="1" outlineLevel="2">
      <c r="E2547" s="59"/>
      <c r="F2547" s="60"/>
      <c r="G2547" s="34"/>
      <c r="H2547" s="30"/>
      <c r="I2547" s="35"/>
      <c r="J2547" s="41"/>
      <c r="K2547" s="10"/>
      <c r="L2547" s="32"/>
      <c r="M2547" s="10"/>
      <c r="N2547" s="33">
        <v>260</v>
      </c>
      <c r="O2547" s="31">
        <f>ROUND(PRODUCT(J2547:N2547),2)</f>
        <v>260</v>
      </c>
    </row>
    <row r="2548" spans="1:16" hidden="1" outlineLevel="1">
      <c r="A2548" s="2">
        <v>6</v>
      </c>
      <c r="B2548" s="2">
        <v>14</v>
      </c>
      <c r="C2548" s="2">
        <f>1+C2546</f>
        <v>21</v>
      </c>
      <c r="E2548" s="20" t="str">
        <f>CONCATENATE(A2548,".",B2548,".",C2548)</f>
        <v>6.14.21</v>
      </c>
      <c r="F2548" s="21" t="s">
        <v>3998</v>
      </c>
      <c r="G2548" s="22" t="s">
        <v>3999</v>
      </c>
      <c r="H2548" s="23" t="s">
        <v>4000</v>
      </c>
      <c r="I2548" s="24" t="s">
        <v>144</v>
      </c>
      <c r="J2548" s="32"/>
      <c r="K2548" s="10"/>
      <c r="L2548" s="32"/>
      <c r="M2548" s="10"/>
      <c r="N2548" s="33"/>
      <c r="O2548" s="11">
        <f>SUM(O2549)</f>
        <v>361.1</v>
      </c>
      <c r="P2548" s="185" t="e">
        <f>VLOOKUP(G2548,[13]COMPOSIÇÕES!$A$3:$F$2740,6,FALSE())</f>
        <v>#N/A</v>
      </c>
    </row>
    <row r="2549" spans="1:16" hidden="1" outlineLevel="2">
      <c r="E2549" s="59"/>
      <c r="F2549" s="60"/>
      <c r="G2549" s="34"/>
      <c r="H2549" s="30"/>
      <c r="I2549" s="35"/>
      <c r="J2549" s="41"/>
      <c r="K2549" s="10"/>
      <c r="L2549" s="32"/>
      <c r="M2549" s="10"/>
      <c r="N2549" s="33">
        <v>361.1</v>
      </c>
      <c r="O2549" s="31">
        <f>ROUND(PRODUCT(J2549:N2549),2)</f>
        <v>361.1</v>
      </c>
    </row>
    <row r="2550" spans="1:16" hidden="1" outlineLevel="1">
      <c r="A2550" s="2">
        <v>6</v>
      </c>
      <c r="B2550" s="2">
        <v>14</v>
      </c>
      <c r="C2550" s="2">
        <f>1+C2548</f>
        <v>22</v>
      </c>
      <c r="E2550" s="20" t="str">
        <f>CONCATENATE(A2550,".",B2550,".",C2550)</f>
        <v>6.14.22</v>
      </c>
      <c r="F2550" s="21" t="s">
        <v>4001</v>
      </c>
      <c r="G2550" s="22" t="s">
        <v>4002</v>
      </c>
      <c r="H2550" s="23" t="s">
        <v>3446</v>
      </c>
      <c r="I2550" s="24" t="s">
        <v>144</v>
      </c>
      <c r="J2550" s="32"/>
      <c r="K2550" s="10"/>
      <c r="L2550" s="32"/>
      <c r="M2550" s="10"/>
      <c r="N2550" s="33"/>
      <c r="O2550" s="11">
        <f>SUM(O2551)</f>
        <v>6</v>
      </c>
      <c r="P2550" s="185" t="e">
        <f>VLOOKUP(G2550,[13]COMPOSIÇÕES!$A$3:$F$2740,6,FALSE())</f>
        <v>#N/A</v>
      </c>
    </row>
    <row r="2551" spans="1:16" hidden="1" outlineLevel="2">
      <c r="E2551" s="59"/>
      <c r="F2551" s="60"/>
      <c r="G2551" s="34"/>
      <c r="H2551" s="30"/>
      <c r="I2551" s="35"/>
      <c r="J2551" s="41"/>
      <c r="K2551" s="10"/>
      <c r="L2551" s="32"/>
      <c r="M2551" s="10"/>
      <c r="N2551" s="33">
        <v>6</v>
      </c>
      <c r="O2551" s="31">
        <f>ROUND(PRODUCT(J2551:N2551),2)</f>
        <v>6</v>
      </c>
    </row>
    <row r="2552" spans="1:16" hidden="1" outlineLevel="1">
      <c r="A2552" s="2">
        <v>6</v>
      </c>
      <c r="B2552" s="2">
        <v>14</v>
      </c>
      <c r="C2552" s="2">
        <f>1+C2550</f>
        <v>23</v>
      </c>
      <c r="E2552" s="20" t="str">
        <f>CONCATENATE(A2552,".",B2552,".",C2552)</f>
        <v>6.14.23</v>
      </c>
      <c r="F2552" s="21" t="s">
        <v>4003</v>
      </c>
      <c r="G2552" s="22" t="s">
        <v>3826</v>
      </c>
      <c r="H2552" s="23" t="s">
        <v>3827</v>
      </c>
      <c r="I2552" s="24" t="s">
        <v>36</v>
      </c>
      <c r="J2552" s="32"/>
      <c r="K2552" s="10"/>
      <c r="L2552" s="32"/>
      <c r="M2552" s="10"/>
      <c r="N2552" s="33"/>
      <c r="O2552" s="11">
        <f>SUM(O2553)</f>
        <v>1</v>
      </c>
      <c r="P2552" s="185" t="e">
        <f>VLOOKUP(G2552,[13]COMPOSIÇÕES!$A$3:$F$2740,6,FALSE())</f>
        <v>#N/A</v>
      </c>
    </row>
    <row r="2553" spans="1:16" hidden="1" outlineLevel="2">
      <c r="E2553" s="59"/>
      <c r="F2553" s="60"/>
      <c r="G2553" s="34"/>
      <c r="H2553" s="30"/>
      <c r="I2553" s="35"/>
      <c r="J2553" s="41"/>
      <c r="K2553" s="10"/>
      <c r="L2553" s="32"/>
      <c r="M2553" s="10"/>
      <c r="N2553" s="33">
        <v>1</v>
      </c>
      <c r="O2553" s="31">
        <f>ROUND(PRODUCT(J2553:N2553),2)</f>
        <v>1</v>
      </c>
    </row>
    <row r="2554" spans="1:16" hidden="1" outlineLevel="1">
      <c r="A2554" s="2">
        <v>6</v>
      </c>
      <c r="B2554" s="2">
        <v>14</v>
      </c>
      <c r="C2554" s="2">
        <f>1+C2552</f>
        <v>24</v>
      </c>
      <c r="E2554" s="20" t="str">
        <f>CONCATENATE(A2554,".",B2554,".",C2554)</f>
        <v>6.14.24</v>
      </c>
      <c r="F2554" s="21" t="s">
        <v>4004</v>
      </c>
      <c r="G2554" s="22" t="s">
        <v>4005</v>
      </c>
      <c r="H2554" s="23" t="s">
        <v>4006</v>
      </c>
      <c r="I2554" s="24" t="s">
        <v>36</v>
      </c>
      <c r="J2554" s="32"/>
      <c r="K2554" s="10"/>
      <c r="L2554" s="32"/>
      <c r="M2554" s="10"/>
      <c r="N2554" s="33"/>
      <c r="O2554" s="11">
        <f>SUM(O2555)</f>
        <v>4</v>
      </c>
      <c r="P2554" s="185" t="e">
        <f>VLOOKUP(G2554,[13]COMPOSIÇÕES!$A$3:$F$2740,6,FALSE())</f>
        <v>#N/A</v>
      </c>
    </row>
    <row r="2555" spans="1:16" hidden="1" outlineLevel="2">
      <c r="E2555" s="59"/>
      <c r="F2555" s="60"/>
      <c r="G2555" s="34"/>
      <c r="H2555" s="30"/>
      <c r="I2555" s="35"/>
      <c r="J2555" s="41"/>
      <c r="K2555" s="10"/>
      <c r="L2555" s="32"/>
      <c r="M2555" s="10"/>
      <c r="N2555" s="33">
        <v>4</v>
      </c>
      <c r="O2555" s="31">
        <f>ROUND(PRODUCT(J2555:N2555),2)</f>
        <v>4</v>
      </c>
    </row>
    <row r="2556" spans="1:16" hidden="1" outlineLevel="1">
      <c r="A2556" s="2">
        <v>6</v>
      </c>
      <c r="B2556" s="2">
        <v>14</v>
      </c>
      <c r="C2556" s="2">
        <f>1+C2554</f>
        <v>25</v>
      </c>
      <c r="E2556" s="20" t="str">
        <f>CONCATENATE(A2556,".",B2556,".",C2556)</f>
        <v>6.14.25</v>
      </c>
      <c r="F2556" s="21" t="s">
        <v>4007</v>
      </c>
      <c r="G2556" s="22" t="s">
        <v>4008</v>
      </c>
      <c r="H2556" s="23" t="s">
        <v>3485</v>
      </c>
      <c r="I2556" s="24" t="s">
        <v>36</v>
      </c>
      <c r="J2556" s="32"/>
      <c r="K2556" s="10"/>
      <c r="L2556" s="32"/>
      <c r="M2556" s="10"/>
      <c r="N2556" s="33"/>
      <c r="O2556" s="11">
        <f>SUM(O2557)</f>
        <v>1</v>
      </c>
    </row>
    <row r="2557" spans="1:16" hidden="1" outlineLevel="2">
      <c r="E2557" s="59"/>
      <c r="F2557" s="60"/>
      <c r="G2557" s="34"/>
      <c r="H2557" s="30"/>
      <c r="I2557" s="35"/>
      <c r="J2557" s="41"/>
      <c r="K2557" s="10"/>
      <c r="L2557" s="32"/>
      <c r="M2557" s="10"/>
      <c r="N2557" s="33">
        <v>1</v>
      </c>
      <c r="O2557" s="31">
        <f>ROUND(PRODUCT(J2557:N2557),2)</f>
        <v>1</v>
      </c>
    </row>
    <row r="2558" spans="1:16" hidden="1" outlineLevel="1">
      <c r="A2558" s="2">
        <v>6</v>
      </c>
      <c r="B2558" s="2">
        <v>14</v>
      </c>
      <c r="C2558" s="2">
        <f>1+C2556</f>
        <v>26</v>
      </c>
      <c r="E2558" s="20" t="str">
        <f>CONCATENATE(A2558,".",B2558,".",C2558)</f>
        <v>6.14.26</v>
      </c>
      <c r="F2558" s="21" t="s">
        <v>4009</v>
      </c>
      <c r="G2558" s="22" t="s">
        <v>4010</v>
      </c>
      <c r="H2558" s="23" t="s">
        <v>3494</v>
      </c>
      <c r="I2558" s="24" t="s">
        <v>36</v>
      </c>
      <c r="J2558" s="32"/>
      <c r="K2558" s="10"/>
      <c r="L2558" s="32"/>
      <c r="M2558" s="10"/>
      <c r="N2558" s="33"/>
      <c r="O2558" s="11">
        <f>SUM(O2559)</f>
        <v>1</v>
      </c>
    </row>
    <row r="2559" spans="1:16" hidden="1" outlineLevel="2">
      <c r="E2559" s="59"/>
      <c r="F2559" s="60"/>
      <c r="G2559" s="34"/>
      <c r="H2559" s="30"/>
      <c r="I2559" s="35"/>
      <c r="J2559" s="41"/>
      <c r="K2559" s="10"/>
      <c r="L2559" s="32"/>
      <c r="M2559" s="10"/>
      <c r="N2559" s="33">
        <v>1</v>
      </c>
      <c r="O2559" s="31">
        <f>ROUND(PRODUCT(J2559:N2559),2)</f>
        <v>1</v>
      </c>
    </row>
    <row r="2560" spans="1:16" hidden="1" outlineLevel="1">
      <c r="A2560" s="2">
        <v>6</v>
      </c>
      <c r="B2560" s="2">
        <v>14</v>
      </c>
      <c r="C2560" s="2">
        <f>1+C2558</f>
        <v>27</v>
      </c>
      <c r="E2560" s="20" t="str">
        <f>CONCATENATE(A2560,".",B2560,".",C2560)</f>
        <v>6.14.27</v>
      </c>
      <c r="F2560" s="21" t="s">
        <v>4011</v>
      </c>
      <c r="G2560" s="22" t="s">
        <v>4012</v>
      </c>
      <c r="H2560" s="23" t="s">
        <v>3473</v>
      </c>
      <c r="I2560" s="24" t="s">
        <v>36</v>
      </c>
      <c r="J2560" s="32"/>
      <c r="K2560" s="10"/>
      <c r="L2560" s="32"/>
      <c r="M2560" s="10"/>
      <c r="N2560" s="33"/>
      <c r="O2560" s="11">
        <f>SUM(O2561)</f>
        <v>2</v>
      </c>
    </row>
    <row r="2561" spans="1:16" hidden="1" outlineLevel="2">
      <c r="E2561" s="59"/>
      <c r="F2561" s="60"/>
      <c r="G2561" s="34"/>
      <c r="H2561" s="30"/>
      <c r="I2561" s="35"/>
      <c r="J2561" s="41"/>
      <c r="K2561" s="10"/>
      <c r="L2561" s="32"/>
      <c r="M2561" s="10"/>
      <c r="N2561" s="33">
        <v>2</v>
      </c>
      <c r="O2561" s="31">
        <f>ROUND(PRODUCT(J2561:N2561),2)</f>
        <v>2</v>
      </c>
    </row>
    <row r="2562" spans="1:16" collapsed="1">
      <c r="A2562" s="2">
        <v>6</v>
      </c>
      <c r="B2562" s="2">
        <v>16</v>
      </c>
      <c r="E2562" s="42" t="str">
        <f>CONCATENATE(A2562,".",B2562)</f>
        <v>6.16</v>
      </c>
      <c r="F2562" s="45" t="s">
        <v>4013</v>
      </c>
      <c r="G2562" s="13"/>
      <c r="H2562" s="14" t="s">
        <v>1166</v>
      </c>
      <c r="I2562" s="15"/>
      <c r="J2562" s="16"/>
      <c r="K2562" s="17"/>
      <c r="L2562" s="16"/>
      <c r="M2562" s="17"/>
      <c r="N2562" s="18"/>
      <c r="O2562" s="19"/>
    </row>
    <row r="2563" spans="1:16" ht="30" hidden="1" outlineLevel="1">
      <c r="A2563" s="2">
        <v>6</v>
      </c>
      <c r="B2563" s="2">
        <v>16</v>
      </c>
      <c r="C2563" s="2" t="e">
        <f>1+#REF!</f>
        <v>#REF!</v>
      </c>
      <c r="E2563" s="20" t="e">
        <f>CONCATENATE(A2563,".",B2563,".",C2563)</f>
        <v>#REF!</v>
      </c>
      <c r="F2563" s="21" t="s">
        <v>4014</v>
      </c>
      <c r="G2563" s="22">
        <v>103253</v>
      </c>
      <c r="H2563" s="23" t="s">
        <v>891</v>
      </c>
      <c r="I2563" s="24" t="s">
        <v>36</v>
      </c>
      <c r="J2563" s="32"/>
      <c r="K2563" s="10"/>
      <c r="L2563" s="32"/>
      <c r="M2563" s="10"/>
      <c r="N2563" s="33"/>
      <c r="O2563" s="11">
        <f>SUM(O2564)</f>
        <v>1</v>
      </c>
      <c r="P2563" s="129"/>
    </row>
    <row r="2564" spans="1:16" hidden="1" outlineLevel="2">
      <c r="E2564" s="59"/>
      <c r="F2564" s="60"/>
      <c r="G2564" s="34"/>
      <c r="H2564" s="30"/>
      <c r="I2564" s="35"/>
      <c r="J2564" s="41"/>
      <c r="K2564" s="10"/>
      <c r="L2564" s="32"/>
      <c r="M2564" s="10"/>
      <c r="N2564" s="33">
        <v>1</v>
      </c>
      <c r="O2564" s="31">
        <f>ROUND(PRODUCT(J2564:N2564),2)</f>
        <v>1</v>
      </c>
    </row>
    <row r="2565" spans="1:16" ht="30" hidden="1" outlineLevel="1">
      <c r="A2565" s="2">
        <v>6</v>
      </c>
      <c r="B2565" s="2">
        <v>16</v>
      </c>
      <c r="C2565" s="2" t="e">
        <f>1+C2563</f>
        <v>#REF!</v>
      </c>
      <c r="E2565" s="20" t="e">
        <f>CONCATENATE(A2565,".",B2565,".",C2565)</f>
        <v>#REF!</v>
      </c>
      <c r="F2565" s="21" t="s">
        <v>4015</v>
      </c>
      <c r="G2565" s="22">
        <v>103289</v>
      </c>
      <c r="H2565" s="23" t="s">
        <v>897</v>
      </c>
      <c r="I2565" s="24" t="s">
        <v>144</v>
      </c>
      <c r="J2565" s="32"/>
      <c r="K2565" s="10"/>
      <c r="L2565" s="32"/>
      <c r="M2565" s="10"/>
      <c r="N2565" s="33"/>
      <c r="O2565" s="11">
        <f>SUM(O2566)</f>
        <v>5</v>
      </c>
      <c r="P2565" s="129"/>
    </row>
    <row r="2566" spans="1:16" hidden="1" outlineLevel="2">
      <c r="E2566" s="59"/>
      <c r="F2566" s="60"/>
      <c r="G2566" s="34"/>
      <c r="H2566" s="30"/>
      <c r="I2566" s="35"/>
      <c r="J2566" s="41"/>
      <c r="K2566" s="10"/>
      <c r="L2566" s="32"/>
      <c r="M2566" s="10"/>
      <c r="N2566" s="33">
        <v>5</v>
      </c>
      <c r="O2566" s="31">
        <f>ROUND(PRODUCT(J2566:N2566),2)</f>
        <v>5</v>
      </c>
    </row>
    <row r="2567" spans="1:16" ht="30" hidden="1" outlineLevel="1">
      <c r="A2567" s="2">
        <v>6</v>
      </c>
      <c r="B2567" s="2">
        <v>16</v>
      </c>
      <c r="C2567" s="2" t="e">
        <f>1+#REF!</f>
        <v>#REF!</v>
      </c>
      <c r="E2567" s="20" t="e">
        <f>CONCATENATE(A2567,".",B2567,".",C2567)</f>
        <v>#REF!</v>
      </c>
      <c r="F2567" s="21" t="s">
        <v>4016</v>
      </c>
      <c r="G2567" s="22">
        <v>103291</v>
      </c>
      <c r="H2567" s="23" t="s">
        <v>903</v>
      </c>
      <c r="I2567" s="24" t="s">
        <v>144</v>
      </c>
      <c r="J2567" s="32"/>
      <c r="K2567" s="10"/>
      <c r="L2567" s="32"/>
      <c r="M2567" s="10"/>
      <c r="N2567" s="33"/>
      <c r="O2567" s="11">
        <f>SUM(O2568)</f>
        <v>5</v>
      </c>
      <c r="P2567" s="129"/>
    </row>
    <row r="2568" spans="1:16" hidden="1" outlineLevel="2">
      <c r="E2568" s="59"/>
      <c r="F2568" s="60"/>
      <c r="G2568" s="34"/>
      <c r="H2568" s="30"/>
      <c r="I2568" s="35"/>
      <c r="J2568" s="41"/>
      <c r="K2568" s="10"/>
      <c r="L2568" s="32"/>
      <c r="M2568" s="10"/>
      <c r="N2568" s="33">
        <v>5</v>
      </c>
      <c r="O2568" s="31">
        <f>ROUND(PRODUCT(J2568:N2568),2)</f>
        <v>5</v>
      </c>
    </row>
    <row r="2569" spans="1:16" ht="30" hidden="1" outlineLevel="1">
      <c r="A2569" s="2">
        <v>6</v>
      </c>
      <c r="B2569" s="2">
        <v>16</v>
      </c>
      <c r="C2569" s="2" t="e">
        <f>1+#REF!</f>
        <v>#REF!</v>
      </c>
      <c r="E2569" s="20" t="e">
        <f>CONCATENATE(A2569,".",B2569,".",C2569)</f>
        <v>#REF!</v>
      </c>
      <c r="F2569" s="21" t="s">
        <v>4017</v>
      </c>
      <c r="G2569" s="22">
        <v>435</v>
      </c>
      <c r="H2569" s="23" t="s">
        <v>915</v>
      </c>
      <c r="I2569" s="24" t="s">
        <v>144</v>
      </c>
      <c r="J2569" s="32"/>
      <c r="K2569" s="10"/>
      <c r="L2569" s="32"/>
      <c r="M2569" s="10"/>
      <c r="N2569" s="33"/>
      <c r="O2569" s="11">
        <f>SUM(O2570:O2570)</f>
        <v>10</v>
      </c>
      <c r="P2569" s="129"/>
    </row>
    <row r="2570" spans="1:16" hidden="1" outlineLevel="2">
      <c r="E2570" s="59"/>
      <c r="F2570" s="60"/>
      <c r="G2570" s="34"/>
      <c r="H2570" s="30"/>
      <c r="I2570" s="35"/>
      <c r="J2570" s="41"/>
      <c r="K2570" s="10"/>
      <c r="L2570" s="32"/>
      <c r="M2570" s="10"/>
      <c r="N2570" s="33">
        <v>10</v>
      </c>
      <c r="O2570" s="31">
        <f>ROUND(PRODUCT(J2570:N2570),2)</f>
        <v>10</v>
      </c>
      <c r="P2570" s="67"/>
    </row>
    <row r="2571" spans="1:16" ht="30" hidden="1" outlineLevel="1">
      <c r="A2571" s="2">
        <v>6</v>
      </c>
      <c r="B2571" s="2">
        <v>16</v>
      </c>
      <c r="C2571" s="2" t="e">
        <f>1+C2569</f>
        <v>#REF!</v>
      </c>
      <c r="E2571" s="20" t="e">
        <f>CONCATENATE(A2571,".",B2571,".",C2571)</f>
        <v>#REF!</v>
      </c>
      <c r="F2571" s="21" t="s">
        <v>4018</v>
      </c>
      <c r="G2571" s="22">
        <v>438</v>
      </c>
      <c r="H2571" s="23" t="s">
        <v>921</v>
      </c>
      <c r="I2571" s="24"/>
      <c r="J2571" s="32"/>
      <c r="K2571" s="10"/>
      <c r="L2571" s="32"/>
      <c r="M2571" s="10"/>
      <c r="N2571" s="33"/>
      <c r="O2571" s="11">
        <f>SUM(O2572)</f>
        <v>1</v>
      </c>
      <c r="P2571" s="129"/>
    </row>
    <row r="2572" spans="1:16" hidden="1" outlineLevel="2">
      <c r="E2572" s="59"/>
      <c r="F2572" s="60"/>
      <c r="G2572" s="34"/>
      <c r="H2572" s="30"/>
      <c r="I2572" s="35"/>
      <c r="J2572" s="41"/>
      <c r="K2572" s="10"/>
      <c r="L2572" s="32"/>
      <c r="M2572" s="10"/>
      <c r="N2572" s="33">
        <v>1</v>
      </c>
      <c r="O2572" s="31">
        <f>ROUND(PRODUCT(J2572:N2572),2)</f>
        <v>1</v>
      </c>
    </row>
    <row r="2573" spans="1:16" ht="45" hidden="1" outlineLevel="1">
      <c r="A2573" s="2">
        <v>6</v>
      </c>
      <c r="B2573" s="2">
        <v>16</v>
      </c>
      <c r="C2573" s="2" t="e">
        <f>1+C2571</f>
        <v>#REF!</v>
      </c>
      <c r="E2573" s="20" t="e">
        <f>CONCATENATE(A2573,".",B2573,".",C2573)</f>
        <v>#REF!</v>
      </c>
      <c r="F2573" s="21" t="s">
        <v>4019</v>
      </c>
      <c r="G2573" s="22">
        <v>502</v>
      </c>
      <c r="H2573" s="23" t="s">
        <v>4020</v>
      </c>
      <c r="I2573" s="24" t="s">
        <v>36</v>
      </c>
      <c r="J2573" s="32"/>
      <c r="K2573" s="10"/>
      <c r="L2573" s="32"/>
      <c r="M2573" s="10"/>
      <c r="N2573" s="33"/>
      <c r="O2573" s="11">
        <f>SUM(O2574)</f>
        <v>1</v>
      </c>
      <c r="P2573" s="129"/>
    </row>
    <row r="2574" spans="1:16" hidden="1" outlineLevel="2">
      <c r="E2574" s="59"/>
      <c r="F2574" s="60"/>
      <c r="G2574" s="34"/>
      <c r="H2574" s="30"/>
      <c r="I2574" s="35"/>
      <c r="J2574" s="41"/>
      <c r="K2574" s="10"/>
      <c r="L2574" s="32"/>
      <c r="M2574" s="10"/>
      <c r="N2574" s="33">
        <v>1</v>
      </c>
      <c r="O2574" s="31">
        <f>ROUND(PRODUCT(J2574:N2574),2)</f>
        <v>1</v>
      </c>
    </row>
    <row r="2575" spans="1:16" ht="30" hidden="1" outlineLevel="1">
      <c r="A2575" s="2">
        <v>6</v>
      </c>
      <c r="B2575" s="2">
        <v>16</v>
      </c>
      <c r="C2575" s="2" t="e">
        <f>1+C2573</f>
        <v>#REF!</v>
      </c>
      <c r="E2575" s="20" t="e">
        <f>CONCATENATE(A2575,".",B2575,".",C2575)</f>
        <v>#REF!</v>
      </c>
      <c r="F2575" s="21" t="s">
        <v>4021</v>
      </c>
      <c r="G2575" s="22">
        <v>1262</v>
      </c>
      <c r="H2575" s="23" t="s">
        <v>937</v>
      </c>
      <c r="I2575" s="24" t="s">
        <v>36</v>
      </c>
      <c r="J2575" s="32"/>
      <c r="K2575" s="10"/>
      <c r="L2575" s="32"/>
      <c r="M2575" s="10"/>
      <c r="N2575" s="33"/>
      <c r="O2575" s="11">
        <f>SUM(O2576)</f>
        <v>4</v>
      </c>
      <c r="P2575" s="129"/>
    </row>
    <row r="2576" spans="1:16" hidden="1" outlineLevel="2">
      <c r="E2576" s="59"/>
      <c r="F2576" s="60"/>
      <c r="G2576" s="34"/>
      <c r="H2576" s="30"/>
      <c r="I2576" s="35"/>
      <c r="J2576" s="41"/>
      <c r="K2576" s="10"/>
      <c r="L2576" s="32"/>
      <c r="M2576" s="10"/>
      <c r="N2576" s="33">
        <v>4</v>
      </c>
      <c r="O2576" s="31">
        <f>ROUND(PRODUCT(J2576:N2576),2)</f>
        <v>4</v>
      </c>
    </row>
    <row r="2577" spans="1:16" ht="30" hidden="1" outlineLevel="1">
      <c r="A2577" s="2">
        <v>6</v>
      </c>
      <c r="B2577" s="2">
        <v>16</v>
      </c>
      <c r="C2577" s="2" t="e">
        <f>1+C2575</f>
        <v>#REF!</v>
      </c>
      <c r="E2577" s="20" t="e">
        <f>CONCATENATE(A2577,".",B2577,".",C2577)</f>
        <v>#REF!</v>
      </c>
      <c r="F2577" s="21" t="s">
        <v>4022</v>
      </c>
      <c r="G2577" s="22">
        <v>440</v>
      </c>
      <c r="H2577" s="23" t="s">
        <v>933</v>
      </c>
      <c r="I2577" s="24" t="s">
        <v>36</v>
      </c>
      <c r="J2577" s="32"/>
      <c r="K2577" s="10"/>
      <c r="L2577" s="32"/>
      <c r="M2577" s="10"/>
      <c r="N2577" s="33"/>
      <c r="O2577" s="11">
        <f>SUM(O2578)</f>
        <v>1</v>
      </c>
      <c r="P2577" s="129"/>
    </row>
    <row r="2578" spans="1:16" hidden="1" outlineLevel="2">
      <c r="E2578" s="59"/>
      <c r="F2578" s="60"/>
      <c r="G2578" s="34"/>
      <c r="H2578" s="30"/>
      <c r="I2578" s="35"/>
      <c r="J2578" s="41"/>
      <c r="K2578" s="10"/>
      <c r="L2578" s="32"/>
      <c r="M2578" s="10"/>
      <c r="N2578" s="33">
        <v>1</v>
      </c>
      <c r="O2578" s="31">
        <f>ROUND(PRODUCT(J2578:N2578),2)</f>
        <v>1</v>
      </c>
    </row>
    <row r="2579" spans="1:16" ht="30" hidden="1" outlineLevel="1">
      <c r="A2579" s="2">
        <v>6</v>
      </c>
      <c r="B2579" s="2">
        <v>16</v>
      </c>
      <c r="C2579" s="2" t="e">
        <f>1+C2577</f>
        <v>#REF!</v>
      </c>
      <c r="E2579" s="20" t="e">
        <f>CONCATENATE(A2579,".",B2579,".",C2579)</f>
        <v>#REF!</v>
      </c>
      <c r="F2579" s="21" t="s">
        <v>4023</v>
      </c>
      <c r="G2579" s="22">
        <v>91927</v>
      </c>
      <c r="H2579" s="23" t="s">
        <v>927</v>
      </c>
      <c r="I2579" s="24" t="s">
        <v>144</v>
      </c>
      <c r="J2579" s="32"/>
      <c r="K2579" s="10"/>
      <c r="L2579" s="32"/>
      <c r="M2579" s="10"/>
      <c r="N2579" s="33"/>
      <c r="O2579" s="11">
        <f>SUM(O2580)</f>
        <v>20</v>
      </c>
      <c r="P2579" s="129"/>
    </row>
    <row r="2580" spans="1:16" hidden="1" outlineLevel="2">
      <c r="E2580" s="59"/>
      <c r="F2580" s="60"/>
      <c r="G2580" s="34"/>
      <c r="H2580" s="30"/>
      <c r="I2580" s="35"/>
      <c r="J2580" s="41"/>
      <c r="K2580" s="10"/>
      <c r="L2580" s="32"/>
      <c r="M2580" s="10"/>
      <c r="N2580" s="33">
        <v>20</v>
      </c>
      <c r="O2580" s="31">
        <f>ROUND(PRODUCT(J2580:N2580),2)</f>
        <v>20</v>
      </c>
    </row>
    <row r="2581" spans="1:16" hidden="1" outlineLevel="1">
      <c r="A2581" s="2">
        <v>6</v>
      </c>
      <c r="B2581" s="2">
        <v>16</v>
      </c>
      <c r="C2581" s="2" t="e">
        <f>1+C2579</f>
        <v>#REF!</v>
      </c>
      <c r="E2581" s="20" t="e">
        <f>CONCATENATE(A2581,".",B2581,".",C2581)</f>
        <v>#REF!</v>
      </c>
      <c r="F2581" s="21" t="s">
        <v>4024</v>
      </c>
      <c r="G2581" s="22"/>
      <c r="H2581" s="23"/>
      <c r="I2581" s="24" t="s">
        <v>36</v>
      </c>
      <c r="J2581" s="32"/>
      <c r="K2581" s="10"/>
      <c r="L2581" s="32"/>
      <c r="M2581" s="10"/>
      <c r="N2581" s="33"/>
      <c r="O2581" s="11">
        <f>SUM(O2582)</f>
        <v>1</v>
      </c>
    </row>
    <row r="2582" spans="1:16" hidden="1" outlineLevel="2">
      <c r="E2582" s="59"/>
      <c r="F2582" s="60"/>
      <c r="G2582" s="34"/>
      <c r="H2582" s="30"/>
      <c r="I2582" s="35"/>
      <c r="J2582" s="41"/>
      <c r="K2582" s="10"/>
      <c r="L2582" s="32"/>
      <c r="M2582" s="10"/>
      <c r="N2582" s="33">
        <v>1</v>
      </c>
      <c r="O2582" s="31">
        <f>ROUND(PRODUCT(J2582:N2582),2)</f>
        <v>1</v>
      </c>
    </row>
    <row r="2583" spans="1:16" hidden="1" outlineLevel="1">
      <c r="A2583" s="2">
        <v>6</v>
      </c>
      <c r="B2583" s="2">
        <v>16</v>
      </c>
      <c r="C2583" s="2" t="e">
        <f>1+C2581</f>
        <v>#REF!</v>
      </c>
      <c r="E2583" s="20" t="e">
        <f>CONCATENATE(A2583,".",B2583,".",C2583)</f>
        <v>#REF!</v>
      </c>
      <c r="F2583" s="21" t="s">
        <v>4025</v>
      </c>
      <c r="G2583" s="22"/>
      <c r="H2583" s="23"/>
      <c r="I2583" s="24" t="s">
        <v>36</v>
      </c>
      <c r="J2583" s="32"/>
      <c r="K2583" s="10"/>
      <c r="L2583" s="32"/>
      <c r="M2583" s="10"/>
      <c r="N2583" s="33"/>
      <c r="O2583" s="11">
        <f>SUM(O2584)</f>
        <v>5</v>
      </c>
    </row>
    <row r="2584" spans="1:16" hidden="1" outlineLevel="2">
      <c r="E2584" s="59"/>
      <c r="F2584" s="60"/>
      <c r="G2584" s="34"/>
      <c r="H2584" s="30"/>
      <c r="I2584" s="35"/>
      <c r="J2584" s="41"/>
      <c r="K2584" s="10"/>
      <c r="L2584" s="32"/>
      <c r="M2584" s="10"/>
      <c r="N2584" s="33">
        <v>5</v>
      </c>
      <c r="O2584" s="31">
        <f>ROUND(PRODUCT(J2584:N2584),2)</f>
        <v>5</v>
      </c>
    </row>
    <row r="2585" spans="1:16" hidden="1" outlineLevel="1">
      <c r="A2585" s="2">
        <v>6</v>
      </c>
      <c r="B2585" s="2">
        <v>16</v>
      </c>
      <c r="C2585" s="2" t="e">
        <f>1+C2583</f>
        <v>#REF!</v>
      </c>
      <c r="E2585" s="20" t="e">
        <f>CONCATENATE(A2585,".",B2585,".",C2585)</f>
        <v>#REF!</v>
      </c>
      <c r="F2585" s="21" t="s">
        <v>4026</v>
      </c>
      <c r="G2585" s="22"/>
      <c r="H2585" s="23"/>
      <c r="I2585" s="24" t="s">
        <v>80</v>
      </c>
      <c r="J2585" s="32"/>
      <c r="K2585" s="10"/>
      <c r="L2585" s="32"/>
      <c r="M2585" s="10"/>
      <c r="N2585" s="33"/>
      <c r="O2585" s="11">
        <f>SUM(O2586)</f>
        <v>50</v>
      </c>
    </row>
    <row r="2586" spans="1:16" hidden="1" outlineLevel="2">
      <c r="E2586" s="59"/>
      <c r="F2586" s="60"/>
      <c r="G2586" s="34"/>
      <c r="H2586" s="30"/>
      <c r="I2586" s="35"/>
      <c r="J2586" s="41"/>
      <c r="K2586" s="10"/>
      <c r="L2586" s="32"/>
      <c r="M2586" s="10"/>
      <c r="N2586" s="33">
        <v>50</v>
      </c>
      <c r="O2586" s="31">
        <f>ROUND(PRODUCT(J2586:N2586),2)</f>
        <v>50</v>
      </c>
    </row>
    <row r="2587" spans="1:16" hidden="1" outlineLevel="1">
      <c r="A2587" s="2">
        <v>6</v>
      </c>
      <c r="B2587" s="2">
        <v>16</v>
      </c>
      <c r="C2587" s="2" t="e">
        <f>1+C2585</f>
        <v>#REF!</v>
      </c>
      <c r="E2587" s="20" t="e">
        <f>CONCATENATE(A2587,".",B2587,".",C2587)</f>
        <v>#REF!</v>
      </c>
      <c r="F2587" s="21" t="s">
        <v>4027</v>
      </c>
      <c r="G2587" s="22"/>
      <c r="H2587" s="23"/>
      <c r="I2587" s="24" t="s">
        <v>80</v>
      </c>
      <c r="J2587" s="32"/>
      <c r="K2587" s="10"/>
      <c r="L2587" s="32"/>
      <c r="M2587" s="10"/>
      <c r="N2587" s="33"/>
      <c r="O2587" s="11">
        <f>SUM(O2588)</f>
        <v>30</v>
      </c>
    </row>
    <row r="2588" spans="1:16" hidden="1" outlineLevel="2">
      <c r="E2588" s="59"/>
      <c r="F2588" s="60"/>
      <c r="G2588" s="34"/>
      <c r="H2588" s="30"/>
      <c r="I2588" s="35"/>
      <c r="J2588" s="41"/>
      <c r="K2588" s="10"/>
      <c r="L2588" s="32"/>
      <c r="M2588" s="10"/>
      <c r="N2588" s="33">
        <v>30</v>
      </c>
      <c r="O2588" s="31">
        <f>ROUND(PRODUCT(J2588:N2588),2)</f>
        <v>30</v>
      </c>
    </row>
    <row r="2589" spans="1:16" ht="30" hidden="1" outlineLevel="1">
      <c r="A2589" s="2">
        <v>6</v>
      </c>
      <c r="B2589" s="2">
        <v>16</v>
      </c>
      <c r="C2589" s="2" t="e">
        <f>1+C2587</f>
        <v>#REF!</v>
      </c>
      <c r="E2589" s="20" t="e">
        <f>CONCATENATE(A2589,".",B2589,".",C2589)</f>
        <v>#REF!</v>
      </c>
      <c r="F2589" s="21" t="s">
        <v>4028</v>
      </c>
      <c r="G2589" s="22">
        <v>1405</v>
      </c>
      <c r="H2589" s="23" t="s">
        <v>1180</v>
      </c>
      <c r="I2589" s="24" t="s">
        <v>36</v>
      </c>
      <c r="J2589" s="32"/>
      <c r="K2589" s="10"/>
      <c r="L2589" s="32"/>
      <c r="M2589" s="10"/>
      <c r="N2589" s="33"/>
      <c r="O2589" s="11">
        <f>SUM(O2590)</f>
        <v>1</v>
      </c>
      <c r="P2589" s="129"/>
    </row>
    <row r="2590" spans="1:16" hidden="1" outlineLevel="2">
      <c r="E2590" s="59"/>
      <c r="F2590" s="60"/>
      <c r="G2590" s="34"/>
      <c r="H2590" s="30"/>
      <c r="I2590" s="35"/>
      <c r="J2590" s="41"/>
      <c r="K2590" s="10"/>
      <c r="L2590" s="32"/>
      <c r="M2590" s="10"/>
      <c r="N2590" s="33">
        <v>1</v>
      </c>
      <c r="O2590" s="31">
        <f>ROUND(PRODUCT(J2590:N2590),2)</f>
        <v>1</v>
      </c>
    </row>
    <row r="2591" spans="1:16" ht="30" hidden="1" outlineLevel="1">
      <c r="A2591" s="2">
        <v>6</v>
      </c>
      <c r="B2591" s="2">
        <v>16</v>
      </c>
      <c r="C2591" s="2" t="e">
        <f>1+C2589</f>
        <v>#REF!</v>
      </c>
      <c r="E2591" s="20" t="e">
        <f>CONCATENATE(A2591,".",B2591,".",C2591)</f>
        <v>#REF!</v>
      </c>
      <c r="F2591" s="21" t="s">
        <v>4029</v>
      </c>
      <c r="G2591" s="22">
        <v>356</v>
      </c>
      <c r="H2591" s="23" t="s">
        <v>1183</v>
      </c>
      <c r="I2591" s="24" t="s">
        <v>36</v>
      </c>
      <c r="J2591" s="32"/>
      <c r="K2591" s="10"/>
      <c r="L2591" s="32"/>
      <c r="M2591" s="10"/>
      <c r="N2591" s="33"/>
      <c r="O2591" s="11">
        <f>SUM(O2592)</f>
        <v>3</v>
      </c>
      <c r="P2591" s="129"/>
    </row>
    <row r="2592" spans="1:16" hidden="1" outlineLevel="2">
      <c r="E2592" s="59"/>
      <c r="F2592" s="60"/>
      <c r="G2592" s="34"/>
      <c r="H2592" s="30"/>
      <c r="I2592" s="35"/>
      <c r="J2592" s="41"/>
      <c r="K2592" s="10"/>
      <c r="L2592" s="32"/>
      <c r="M2592" s="10"/>
      <c r="N2592" s="33">
        <v>3</v>
      </c>
      <c r="O2592" s="31">
        <f>ROUND(PRODUCT(J2592:N2592),2)</f>
        <v>3</v>
      </c>
    </row>
    <row r="2593" spans="1:16" ht="45" hidden="1" outlineLevel="1">
      <c r="A2593" s="2">
        <v>6</v>
      </c>
      <c r="B2593" s="2">
        <v>16</v>
      </c>
      <c r="C2593" s="2" t="e">
        <f>1+C2591</f>
        <v>#REF!</v>
      </c>
      <c r="E2593" s="20" t="e">
        <f>CONCATENATE(A2593,".",B2593,".",C2593)</f>
        <v>#REF!</v>
      </c>
      <c r="F2593" s="21" t="s">
        <v>4030</v>
      </c>
      <c r="G2593" s="22">
        <v>1271</v>
      </c>
      <c r="H2593" s="23" t="s">
        <v>1186</v>
      </c>
      <c r="I2593" s="24" t="s">
        <v>36</v>
      </c>
      <c r="J2593" s="32"/>
      <c r="K2593" s="10"/>
      <c r="L2593" s="32"/>
      <c r="M2593" s="10"/>
      <c r="N2593" s="33"/>
      <c r="O2593" s="11">
        <f>SUM(O2594)</f>
        <v>347</v>
      </c>
      <c r="P2593" s="129"/>
    </row>
    <row r="2594" spans="1:16" hidden="1" outlineLevel="2">
      <c r="E2594" s="59"/>
      <c r="F2594" s="60"/>
      <c r="G2594" s="34"/>
      <c r="H2594" s="30"/>
      <c r="I2594" s="35"/>
      <c r="J2594" s="41"/>
      <c r="K2594" s="10"/>
      <c r="L2594" s="32"/>
      <c r="M2594" s="10"/>
      <c r="N2594" s="33">
        <v>347</v>
      </c>
      <c r="O2594" s="31">
        <f>ROUND(PRODUCT(J2594:N2594),2)</f>
        <v>347</v>
      </c>
    </row>
    <row r="2595" spans="1:16" ht="30" hidden="1" outlineLevel="1">
      <c r="A2595" s="2">
        <v>6</v>
      </c>
      <c r="B2595" s="2">
        <v>16</v>
      </c>
      <c r="C2595" s="2" t="e">
        <f>1+C2593</f>
        <v>#REF!</v>
      </c>
      <c r="E2595" s="20" t="e">
        <f>CONCATENATE(A2595,".",B2595,".",C2595)</f>
        <v>#REF!</v>
      </c>
      <c r="F2595" s="21" t="s">
        <v>4031</v>
      </c>
      <c r="G2595" s="22">
        <v>1273</v>
      </c>
      <c r="H2595" s="23" t="s">
        <v>1189</v>
      </c>
      <c r="I2595" s="24" t="s">
        <v>2798</v>
      </c>
      <c r="J2595" s="32"/>
      <c r="K2595" s="10"/>
      <c r="L2595" s="32"/>
      <c r="M2595" s="10"/>
      <c r="N2595" s="33"/>
      <c r="O2595" s="11">
        <f>SUM(O2596)</f>
        <v>30</v>
      </c>
      <c r="P2595" s="129"/>
    </row>
    <row r="2596" spans="1:16" hidden="1" outlineLevel="2">
      <c r="E2596" s="59"/>
      <c r="F2596" s="60"/>
      <c r="G2596" s="34"/>
      <c r="H2596" s="30"/>
      <c r="I2596" s="35"/>
      <c r="J2596" s="41"/>
      <c r="K2596" s="10"/>
      <c r="L2596" s="32"/>
      <c r="M2596" s="10"/>
      <c r="N2596" s="33">
        <v>30</v>
      </c>
      <c r="O2596" s="31">
        <f>ROUND(PRODUCT(J2596:N2596),2)</f>
        <v>30</v>
      </c>
    </row>
    <row r="2597" spans="1:16" ht="30" hidden="1" outlineLevel="1">
      <c r="A2597" s="2">
        <v>6</v>
      </c>
      <c r="B2597" s="2">
        <v>16</v>
      </c>
      <c r="C2597" s="2" t="e">
        <f>1+C2595</f>
        <v>#REF!</v>
      </c>
      <c r="E2597" s="20" t="e">
        <f>CONCATENATE(A2597,".",B2597,".",C2597)</f>
        <v>#REF!</v>
      </c>
      <c r="F2597" s="21" t="s">
        <v>4032</v>
      </c>
      <c r="G2597" s="22">
        <v>1395</v>
      </c>
      <c r="H2597" s="23" t="s">
        <v>1192</v>
      </c>
      <c r="I2597" s="24" t="s">
        <v>36</v>
      </c>
      <c r="J2597" s="32"/>
      <c r="K2597" s="10"/>
      <c r="L2597" s="32"/>
      <c r="M2597" s="10"/>
      <c r="N2597" s="33"/>
      <c r="O2597" s="11">
        <f>SUM(O2598)</f>
        <v>1</v>
      </c>
      <c r="P2597" s="129"/>
    </row>
    <row r="2598" spans="1:16" hidden="1" outlineLevel="2">
      <c r="E2598" s="59"/>
      <c r="F2598" s="60"/>
      <c r="G2598" s="34"/>
      <c r="H2598" s="30"/>
      <c r="I2598" s="35"/>
      <c r="J2598" s="41"/>
      <c r="K2598" s="10"/>
      <c r="L2598" s="32"/>
      <c r="M2598" s="10"/>
      <c r="N2598" s="33">
        <v>1</v>
      </c>
      <c r="O2598" s="31">
        <f>ROUND(PRODUCT(J2598:N2598),2)</f>
        <v>1</v>
      </c>
    </row>
    <row r="2599" spans="1:16" ht="30" hidden="1" outlineLevel="1">
      <c r="A2599" s="2">
        <v>6</v>
      </c>
      <c r="B2599" s="2">
        <v>16</v>
      </c>
      <c r="C2599" s="2" t="e">
        <f>1+C2597</f>
        <v>#REF!</v>
      </c>
      <c r="E2599" s="20" t="e">
        <f>CONCATENATE(A2599,".",B2599,".",C2599)</f>
        <v>#REF!</v>
      </c>
      <c r="F2599" s="21" t="s">
        <v>4033</v>
      </c>
      <c r="G2599" s="22">
        <v>1409</v>
      </c>
      <c r="H2599" s="23" t="s">
        <v>1195</v>
      </c>
      <c r="I2599" s="24" t="s">
        <v>36</v>
      </c>
      <c r="J2599" s="32"/>
      <c r="K2599" s="10"/>
      <c r="L2599" s="32"/>
      <c r="M2599" s="10"/>
      <c r="N2599" s="33"/>
      <c r="O2599" s="11">
        <f>SUM(O2600)</f>
        <v>1</v>
      </c>
      <c r="P2599" s="129"/>
    </row>
    <row r="2600" spans="1:16" hidden="1" outlineLevel="2">
      <c r="E2600" s="59"/>
      <c r="F2600" s="60"/>
      <c r="G2600" s="34"/>
      <c r="H2600" s="30"/>
      <c r="I2600" s="35"/>
      <c r="J2600" s="41"/>
      <c r="K2600" s="10"/>
      <c r="L2600" s="32"/>
      <c r="M2600" s="10"/>
      <c r="N2600" s="33">
        <v>1</v>
      </c>
      <c r="O2600" s="31">
        <f>ROUND(PRODUCT(J2600:N2600),2)</f>
        <v>1</v>
      </c>
    </row>
    <row r="2601" spans="1:16" ht="30" hidden="1" outlineLevel="1">
      <c r="A2601" s="2">
        <v>6</v>
      </c>
      <c r="B2601" s="2">
        <v>16</v>
      </c>
      <c r="C2601" s="2" t="e">
        <f>1+C2599</f>
        <v>#REF!</v>
      </c>
      <c r="E2601" s="20" t="e">
        <f>CONCATENATE(A2601,".",B2601,".",C2601)</f>
        <v>#REF!</v>
      </c>
      <c r="F2601" s="21" t="s">
        <v>4034</v>
      </c>
      <c r="G2601" s="22">
        <v>1996</v>
      </c>
      <c r="H2601" s="23" t="s">
        <v>1198</v>
      </c>
      <c r="I2601" s="24" t="s">
        <v>36</v>
      </c>
      <c r="J2601" s="32"/>
      <c r="K2601" s="10"/>
      <c r="L2601" s="32"/>
      <c r="M2601" s="10"/>
      <c r="N2601" s="33"/>
      <c r="O2601" s="11">
        <f>SUM(O2602)</f>
        <v>2</v>
      </c>
      <c r="P2601" s="129"/>
    </row>
    <row r="2602" spans="1:16" hidden="1" outlineLevel="2">
      <c r="E2602" s="59"/>
      <c r="F2602" s="60"/>
      <c r="G2602" s="34"/>
      <c r="H2602" s="30"/>
      <c r="I2602" s="35"/>
      <c r="J2602" s="41"/>
      <c r="K2602" s="10"/>
      <c r="L2602" s="32"/>
      <c r="M2602" s="10"/>
      <c r="N2602" s="33">
        <v>2</v>
      </c>
      <c r="O2602" s="31">
        <f>ROUND(PRODUCT(J2602:N2602),2)</f>
        <v>2</v>
      </c>
    </row>
    <row r="2603" spans="1:16" ht="30" hidden="1" outlineLevel="1">
      <c r="A2603" s="2">
        <v>6</v>
      </c>
      <c r="B2603" s="2">
        <v>16</v>
      </c>
      <c r="C2603" s="2" t="e">
        <f>1+C2601</f>
        <v>#REF!</v>
      </c>
      <c r="E2603" s="20" t="e">
        <f>CONCATENATE(A2603,".",B2603,".",C2603)</f>
        <v>#REF!</v>
      </c>
      <c r="F2603" s="21" t="s">
        <v>4035</v>
      </c>
      <c r="G2603" s="22">
        <v>1272</v>
      </c>
      <c r="H2603" s="23" t="s">
        <v>912</v>
      </c>
      <c r="I2603" s="24" t="s">
        <v>80</v>
      </c>
      <c r="J2603" s="32"/>
      <c r="K2603" s="10"/>
      <c r="L2603" s="32"/>
      <c r="M2603" s="10"/>
      <c r="N2603" s="33"/>
      <c r="O2603" s="11">
        <f>SUM(O2604)</f>
        <v>142</v>
      </c>
      <c r="P2603" s="129"/>
    </row>
    <row r="2604" spans="1:16" hidden="1" outlineLevel="2">
      <c r="E2604" s="59"/>
      <c r="F2604" s="60"/>
      <c r="G2604" s="34"/>
      <c r="H2604" s="30"/>
      <c r="I2604" s="35"/>
      <c r="J2604" s="41"/>
      <c r="K2604" s="10"/>
      <c r="L2604" s="32"/>
      <c r="M2604" s="10"/>
      <c r="N2604" s="33">
        <v>142</v>
      </c>
      <c r="O2604" s="31">
        <f>ROUND(PRODUCT(J2604:N2604),2)</f>
        <v>142</v>
      </c>
    </row>
    <row r="2605" spans="1:16" hidden="1" outlineLevel="1">
      <c r="A2605" s="2">
        <v>6</v>
      </c>
      <c r="B2605" s="2">
        <v>16</v>
      </c>
      <c r="C2605" s="2" t="e">
        <f>1+C2603</f>
        <v>#REF!</v>
      </c>
      <c r="E2605" s="20" t="e">
        <f>CONCATENATE(A2605,".",B2605,".",C2605)</f>
        <v>#REF!</v>
      </c>
      <c r="F2605" s="21" t="s">
        <v>4036</v>
      </c>
      <c r="G2605" s="22">
        <v>447</v>
      </c>
      <c r="H2605" s="23" t="s">
        <v>1202</v>
      </c>
      <c r="I2605" s="24" t="s">
        <v>80</v>
      </c>
      <c r="J2605" s="32"/>
      <c r="K2605" s="10"/>
      <c r="L2605" s="32"/>
      <c r="M2605" s="10"/>
      <c r="N2605" s="33"/>
      <c r="O2605" s="11">
        <f>SUM(O2606)</f>
        <v>1</v>
      </c>
      <c r="P2605" s="129"/>
    </row>
    <row r="2606" spans="1:16" hidden="1" outlineLevel="2">
      <c r="E2606" s="59"/>
      <c r="F2606" s="60"/>
      <c r="G2606" s="34"/>
      <c r="H2606" s="30"/>
      <c r="I2606" s="35"/>
      <c r="J2606" s="41"/>
      <c r="K2606" s="10"/>
      <c r="L2606" s="32"/>
      <c r="M2606" s="10"/>
      <c r="N2606" s="33">
        <v>1</v>
      </c>
      <c r="O2606" s="31">
        <f>ROUND(PRODUCT(J2606:N2606),2)</f>
        <v>1</v>
      </c>
    </row>
    <row r="2607" spans="1:16" hidden="1" outlineLevel="1">
      <c r="A2607" s="2">
        <v>6</v>
      </c>
      <c r="B2607" s="2">
        <v>16</v>
      </c>
      <c r="C2607" s="2" t="e">
        <f>1+C2605</f>
        <v>#REF!</v>
      </c>
      <c r="E2607" s="20" t="e">
        <f>CONCATENATE(A2607,".",B2607,".",C2607)</f>
        <v>#REF!</v>
      </c>
      <c r="F2607" s="21" t="s">
        <v>4037</v>
      </c>
      <c r="G2607" s="22">
        <v>448</v>
      </c>
      <c r="H2607" s="23" t="s">
        <v>945</v>
      </c>
      <c r="I2607" s="24" t="s">
        <v>80</v>
      </c>
      <c r="J2607" s="32"/>
      <c r="K2607" s="10"/>
      <c r="L2607" s="32"/>
      <c r="M2607" s="10"/>
      <c r="N2607" s="33"/>
      <c r="O2607" s="11">
        <f>SUM(O2608)</f>
        <v>1</v>
      </c>
      <c r="P2607" s="129"/>
    </row>
    <row r="2608" spans="1:16" hidden="1" outlineLevel="2">
      <c r="E2608" s="59"/>
      <c r="F2608" s="60"/>
      <c r="G2608" s="34"/>
      <c r="H2608" s="30"/>
      <c r="I2608" s="35"/>
      <c r="J2608" s="41"/>
      <c r="K2608" s="10"/>
      <c r="L2608" s="32"/>
      <c r="M2608" s="10"/>
      <c r="N2608" s="33">
        <v>1</v>
      </c>
      <c r="O2608" s="31">
        <f>ROUND(PRODUCT(J2608:N2608),2)</f>
        <v>1</v>
      </c>
    </row>
    <row r="2609" spans="1:15" collapsed="1">
      <c r="A2609" s="2">
        <v>6</v>
      </c>
      <c r="B2609" s="2">
        <v>17</v>
      </c>
      <c r="E2609" s="42" t="str">
        <f>CONCATENATE(A2609,".",B2609)</f>
        <v>6.17</v>
      </c>
      <c r="F2609" s="45" t="s">
        <v>4038</v>
      </c>
      <c r="G2609" s="13"/>
      <c r="H2609" s="14" t="s">
        <v>1226</v>
      </c>
      <c r="I2609" s="15"/>
      <c r="J2609" s="16"/>
      <c r="K2609" s="17"/>
      <c r="L2609" s="16"/>
      <c r="M2609" s="17"/>
      <c r="N2609" s="18"/>
      <c r="O2609" s="19"/>
    </row>
    <row r="2610" spans="1:15" hidden="1" outlineLevel="1">
      <c r="A2610" s="2">
        <v>6</v>
      </c>
      <c r="B2610" s="2">
        <v>17</v>
      </c>
      <c r="C2610" s="2">
        <v>1</v>
      </c>
      <c r="E2610" s="20" t="str">
        <f>CONCATENATE(A2610,".",B2610,".",C2610)</f>
        <v>6.17.1</v>
      </c>
      <c r="F2610" s="21" t="s">
        <v>4039</v>
      </c>
      <c r="G2610" s="22">
        <v>1274</v>
      </c>
      <c r="H2610" s="23" t="s">
        <v>1229</v>
      </c>
      <c r="I2610" s="24" t="s">
        <v>36</v>
      </c>
      <c r="J2610" s="32"/>
      <c r="K2610" s="10"/>
      <c r="L2610" s="32"/>
      <c r="M2610" s="10"/>
      <c r="N2610" s="33"/>
      <c r="O2610" s="11">
        <f>SUM(O2611)</f>
        <v>3</v>
      </c>
    </row>
    <row r="2611" spans="1:15" hidden="1" outlineLevel="2">
      <c r="E2611" s="59"/>
      <c r="F2611" s="60"/>
      <c r="G2611" s="34"/>
      <c r="H2611" s="30"/>
      <c r="I2611" s="35"/>
      <c r="J2611" s="41"/>
      <c r="K2611" s="10"/>
      <c r="L2611" s="32"/>
      <c r="M2611" s="10"/>
      <c r="N2611" s="33">
        <v>3</v>
      </c>
      <c r="O2611" s="31">
        <f>ROUND(PRODUCT(J2611:N2611),2)</f>
        <v>3</v>
      </c>
    </row>
    <row r="2612" spans="1:15" ht="30" hidden="1" outlineLevel="1">
      <c r="A2612" s="2">
        <v>6</v>
      </c>
      <c r="B2612" s="2">
        <v>17</v>
      </c>
      <c r="C2612" s="2">
        <f>1+C2610</f>
        <v>2</v>
      </c>
      <c r="E2612" s="20" t="str">
        <f>CONCATENATE(A2612,".",B2612,".",C2612)</f>
        <v>6.17.2</v>
      </c>
      <c r="F2612" s="21" t="s">
        <v>4040</v>
      </c>
      <c r="G2612" s="22">
        <v>95250</v>
      </c>
      <c r="H2612" s="23" t="s">
        <v>1231</v>
      </c>
      <c r="I2612" s="24" t="s">
        <v>36</v>
      </c>
      <c r="J2612" s="32"/>
      <c r="K2612" s="10"/>
      <c r="L2612" s="32"/>
      <c r="M2612" s="10"/>
      <c r="N2612" s="33"/>
      <c r="O2612" s="11">
        <f>SUM(O2613)</f>
        <v>2</v>
      </c>
    </row>
    <row r="2613" spans="1:15" hidden="1" outlineLevel="2">
      <c r="E2613" s="59"/>
      <c r="F2613" s="60"/>
      <c r="G2613" s="34"/>
      <c r="H2613" s="30"/>
      <c r="I2613" s="35"/>
      <c r="J2613" s="41"/>
      <c r="K2613" s="10"/>
      <c r="L2613" s="32"/>
      <c r="M2613" s="10"/>
      <c r="N2613" s="33">
        <v>2</v>
      </c>
      <c r="O2613" s="31">
        <f>ROUND(PRODUCT(J2613:N2613),2)</f>
        <v>2</v>
      </c>
    </row>
    <row r="2614" spans="1:15" hidden="1" outlineLevel="1">
      <c r="A2614" s="2">
        <v>6</v>
      </c>
      <c r="B2614" s="2">
        <v>17</v>
      </c>
      <c r="C2614" s="2">
        <f>1+C2612</f>
        <v>3</v>
      </c>
      <c r="E2614" s="20" t="str">
        <f>CONCATENATE(A2614,".",B2614,".",C2614)</f>
        <v>6.17.3</v>
      </c>
      <c r="F2614" s="21" t="s">
        <v>4041</v>
      </c>
      <c r="G2614" s="22">
        <v>1275</v>
      </c>
      <c r="H2614" s="23" t="s">
        <v>1234</v>
      </c>
      <c r="I2614" s="24" t="s">
        <v>36</v>
      </c>
      <c r="J2614" s="32"/>
      <c r="K2614" s="10"/>
      <c r="L2614" s="32"/>
      <c r="M2614" s="10"/>
      <c r="N2614" s="33"/>
      <c r="O2614" s="11">
        <f>SUM(O2615)</f>
        <v>1</v>
      </c>
    </row>
    <row r="2615" spans="1:15" hidden="1" outlineLevel="2">
      <c r="E2615" s="59"/>
      <c r="F2615" s="60"/>
      <c r="G2615" s="22"/>
      <c r="H2615" s="23"/>
      <c r="I2615" s="35"/>
      <c r="J2615" s="41"/>
      <c r="K2615" s="10"/>
      <c r="L2615" s="32"/>
      <c r="M2615" s="10"/>
      <c r="N2615" s="33">
        <v>1</v>
      </c>
      <c r="O2615" s="31">
        <f>ROUND(PRODUCT(J2615:N2615),2)</f>
        <v>1</v>
      </c>
    </row>
    <row r="2616" spans="1:15" hidden="1" outlineLevel="1">
      <c r="A2616" s="2">
        <v>6</v>
      </c>
      <c r="B2616" s="2">
        <v>17</v>
      </c>
      <c r="C2616" s="2">
        <f>1+C2614</f>
        <v>4</v>
      </c>
      <c r="E2616" s="20" t="str">
        <f>CONCATENATE(A2616,".",B2616,".",C2616)</f>
        <v>6.17.4</v>
      </c>
      <c r="F2616" s="21" t="s">
        <v>4042</v>
      </c>
      <c r="G2616" s="22">
        <v>335</v>
      </c>
      <c r="H2616" s="23" t="s">
        <v>4043</v>
      </c>
      <c r="I2616" s="24" t="s">
        <v>36</v>
      </c>
      <c r="J2616" s="32"/>
      <c r="K2616" s="10"/>
      <c r="L2616" s="32"/>
      <c r="M2616" s="10"/>
      <c r="N2616" s="33"/>
      <c r="O2616" s="11">
        <f>SUM(O2617)</f>
        <v>3</v>
      </c>
    </row>
    <row r="2617" spans="1:15" hidden="1" outlineLevel="2">
      <c r="E2617" s="59"/>
      <c r="F2617" s="60"/>
      <c r="G2617" s="34"/>
      <c r="H2617" s="30"/>
      <c r="I2617" s="35"/>
      <c r="J2617" s="41"/>
      <c r="K2617" s="10"/>
      <c r="L2617" s="32"/>
      <c r="M2617" s="10"/>
      <c r="N2617" s="33">
        <v>3</v>
      </c>
      <c r="O2617" s="31">
        <f>ROUND(PRODUCT(J2617:N2617),2)</f>
        <v>3</v>
      </c>
    </row>
    <row r="2618" spans="1:15" ht="45" hidden="1" outlineLevel="1">
      <c r="A2618" s="2">
        <v>6</v>
      </c>
      <c r="B2618" s="2">
        <v>17</v>
      </c>
      <c r="C2618" s="2">
        <f>1+C2616</f>
        <v>5</v>
      </c>
      <c r="E2618" s="20" t="str">
        <f>CONCATENATE(A2618,".",B2618,".",C2618)</f>
        <v>6.17.5</v>
      </c>
      <c r="F2618" s="21" t="s">
        <v>4044</v>
      </c>
      <c r="G2618" s="22">
        <v>92703</v>
      </c>
      <c r="H2618" s="23" t="s">
        <v>1238</v>
      </c>
      <c r="I2618" s="24" t="s">
        <v>36</v>
      </c>
      <c r="J2618" s="32"/>
      <c r="K2618" s="10"/>
      <c r="L2618" s="32"/>
      <c r="M2618" s="10"/>
      <c r="N2618" s="33"/>
      <c r="O2618" s="11">
        <f>SUM(O2619)</f>
        <v>1</v>
      </c>
    </row>
    <row r="2619" spans="1:15" hidden="1" outlineLevel="2">
      <c r="E2619" s="59"/>
      <c r="F2619" s="60"/>
      <c r="G2619" s="34"/>
      <c r="H2619" s="30"/>
      <c r="I2619" s="35"/>
      <c r="J2619" s="41"/>
      <c r="K2619" s="10"/>
      <c r="L2619" s="32"/>
      <c r="M2619" s="10"/>
      <c r="N2619" s="33">
        <v>1</v>
      </c>
      <c r="O2619" s="31">
        <f>ROUND(PRODUCT(J2619:N2619),2)</f>
        <v>1</v>
      </c>
    </row>
    <row r="2620" spans="1:15" ht="45" hidden="1" outlineLevel="1">
      <c r="A2620" s="2">
        <v>6</v>
      </c>
      <c r="B2620" s="2">
        <v>17</v>
      </c>
      <c r="C2620" s="2">
        <f>1+C2618</f>
        <v>6</v>
      </c>
      <c r="E2620" s="20" t="str">
        <f>CONCATENATE(A2620,".",B2620,".",C2620)</f>
        <v>6.17.6</v>
      </c>
      <c r="F2620" s="21" t="s">
        <v>4045</v>
      </c>
      <c r="G2620" s="22">
        <v>92384</v>
      </c>
      <c r="H2620" s="23" t="s">
        <v>1240</v>
      </c>
      <c r="I2620" s="24" t="s">
        <v>36</v>
      </c>
      <c r="J2620" s="32"/>
      <c r="K2620" s="10"/>
      <c r="L2620" s="32"/>
      <c r="M2620" s="10"/>
      <c r="N2620" s="33"/>
      <c r="O2620" s="11">
        <f>SUM(O2621)</f>
        <v>4</v>
      </c>
    </row>
    <row r="2621" spans="1:15" hidden="1" outlineLevel="2">
      <c r="E2621" s="59"/>
      <c r="F2621" s="60"/>
      <c r="G2621" s="22"/>
      <c r="H2621" s="30"/>
      <c r="I2621" s="35"/>
      <c r="J2621" s="41"/>
      <c r="K2621" s="10"/>
      <c r="L2621" s="32"/>
      <c r="M2621" s="10"/>
      <c r="N2621" s="33">
        <v>4</v>
      </c>
      <c r="O2621" s="31">
        <f>ROUND(PRODUCT(J2621:N2621),2)</f>
        <v>4</v>
      </c>
    </row>
    <row r="2622" spans="1:15" ht="30" hidden="1" outlineLevel="1">
      <c r="A2622" s="2">
        <v>6</v>
      </c>
      <c r="B2622" s="2">
        <v>17</v>
      </c>
      <c r="C2622" s="2">
        <f>1+C2620</f>
        <v>7</v>
      </c>
      <c r="E2622" s="20" t="str">
        <f>CONCATENATE(A2622,".",B2622,".",C2622)</f>
        <v>6.17.7</v>
      </c>
      <c r="F2622" s="21" t="s">
        <v>4046</v>
      </c>
      <c r="G2622" s="22">
        <v>92638</v>
      </c>
      <c r="H2622" s="23" t="s">
        <v>1242</v>
      </c>
      <c r="I2622" s="24" t="s">
        <v>36</v>
      </c>
      <c r="J2622" s="32"/>
      <c r="K2622" s="10"/>
      <c r="L2622" s="32"/>
      <c r="M2622" s="10"/>
      <c r="N2622" s="33"/>
      <c r="O2622" s="11">
        <f>SUM(O2623)</f>
        <v>1</v>
      </c>
    </row>
    <row r="2623" spans="1:15" hidden="1" outlineLevel="2">
      <c r="E2623" s="59"/>
      <c r="F2623" s="60"/>
      <c r="G2623" s="34"/>
      <c r="H2623" s="30"/>
      <c r="I2623" s="35"/>
      <c r="J2623" s="41"/>
      <c r="K2623" s="10"/>
      <c r="L2623" s="32"/>
      <c r="M2623" s="10"/>
      <c r="N2623" s="33">
        <v>1</v>
      </c>
      <c r="O2623" s="31">
        <f>ROUND(PRODUCT(J2623:N2623),2)</f>
        <v>1</v>
      </c>
    </row>
    <row r="2624" spans="1:15" ht="45" hidden="1" outlineLevel="1">
      <c r="A2624" s="2">
        <v>6</v>
      </c>
      <c r="B2624" s="2">
        <v>17</v>
      </c>
      <c r="C2624" s="2">
        <f>1+C2622</f>
        <v>8</v>
      </c>
      <c r="E2624" s="20" t="str">
        <f>CONCATENATE(A2624,".",B2624,".",C2624)</f>
        <v>6.17.8</v>
      </c>
      <c r="F2624" s="21" t="s">
        <v>4047</v>
      </c>
      <c r="G2624" s="22">
        <v>92925</v>
      </c>
      <c r="H2624" s="23" t="s">
        <v>1244</v>
      </c>
      <c r="I2624" s="24" t="s">
        <v>36</v>
      </c>
      <c r="J2624" s="32"/>
      <c r="K2624" s="10"/>
      <c r="L2624" s="32"/>
      <c r="M2624" s="10"/>
      <c r="N2624" s="33"/>
      <c r="O2624" s="11">
        <f>SUM(O2625)</f>
        <v>1</v>
      </c>
    </row>
    <row r="2625" spans="1:17" hidden="1" outlineLevel="2">
      <c r="E2625" s="59"/>
      <c r="F2625" s="60"/>
      <c r="G2625" s="34"/>
      <c r="H2625" s="30"/>
      <c r="I2625" s="35"/>
      <c r="J2625" s="41"/>
      <c r="K2625" s="10"/>
      <c r="L2625" s="32"/>
      <c r="M2625" s="10"/>
      <c r="N2625" s="33">
        <v>1</v>
      </c>
      <c r="O2625" s="31">
        <f>ROUND(PRODUCT(J2625:N2625),2)</f>
        <v>1</v>
      </c>
    </row>
    <row r="2626" spans="1:17" ht="30" hidden="1" outlineLevel="1">
      <c r="A2626" s="2">
        <v>6</v>
      </c>
      <c r="B2626" s="2">
        <v>17</v>
      </c>
      <c r="C2626" s="2">
        <f>1+C2624</f>
        <v>9</v>
      </c>
      <c r="E2626" s="20" t="str">
        <f>CONCATENATE(A2626,".",B2626,".",C2626)</f>
        <v>6.17.9</v>
      </c>
      <c r="F2626" s="21" t="s">
        <v>4048</v>
      </c>
      <c r="G2626" s="22">
        <v>92706</v>
      </c>
      <c r="H2626" s="23" t="s">
        <v>1247</v>
      </c>
      <c r="I2626" s="24" t="s">
        <v>36</v>
      </c>
      <c r="J2626" s="32"/>
      <c r="K2626" s="10"/>
      <c r="L2626" s="32"/>
      <c r="M2626" s="10"/>
      <c r="N2626" s="33"/>
      <c r="O2626" s="11">
        <f>SUM(O2627)</f>
        <v>5</v>
      </c>
    </row>
    <row r="2627" spans="1:17" hidden="1" outlineLevel="2">
      <c r="E2627" s="59"/>
      <c r="F2627" s="60"/>
      <c r="G2627" s="34"/>
      <c r="H2627" s="30"/>
      <c r="I2627" s="35"/>
      <c r="J2627" s="41"/>
      <c r="K2627" s="10"/>
      <c r="L2627" s="32"/>
      <c r="M2627" s="10"/>
      <c r="N2627" s="33">
        <v>5</v>
      </c>
      <c r="O2627" s="31">
        <f>ROUND(PRODUCT(J2627:N2627),2)</f>
        <v>5</v>
      </c>
    </row>
    <row r="2628" spans="1:17" hidden="1" outlineLevel="1">
      <c r="A2628" s="2">
        <v>6</v>
      </c>
      <c r="B2628" s="2">
        <v>17</v>
      </c>
      <c r="C2628" s="2">
        <f>1+C2626</f>
        <v>10</v>
      </c>
      <c r="E2628" s="20" t="str">
        <f>CONCATENATE(A2628,".",B2628,".",C2628)</f>
        <v>6.17.10</v>
      </c>
      <c r="F2628" s="21" t="s">
        <v>4049</v>
      </c>
      <c r="G2628" s="22">
        <v>2353</v>
      </c>
      <c r="H2628" s="23" t="s">
        <v>1250</v>
      </c>
      <c r="I2628" s="24" t="s">
        <v>36</v>
      </c>
      <c r="J2628" s="32"/>
      <c r="K2628" s="10"/>
      <c r="L2628" s="32"/>
      <c r="M2628" s="10"/>
      <c r="N2628" s="33"/>
      <c r="O2628" s="11">
        <f>SUM(O2629)</f>
        <v>2</v>
      </c>
      <c r="P2628" s="185"/>
    </row>
    <row r="2629" spans="1:17" hidden="1" outlineLevel="2">
      <c r="E2629" s="59"/>
      <c r="F2629" s="60"/>
      <c r="G2629" s="34"/>
      <c r="H2629" s="30"/>
      <c r="I2629" s="35"/>
      <c r="J2629" s="41"/>
      <c r="K2629" s="10"/>
      <c r="L2629" s="32"/>
      <c r="M2629" s="10"/>
      <c r="N2629" s="33">
        <v>2</v>
      </c>
      <c r="O2629" s="31">
        <f>ROUND(PRODUCT(J2629:N2629),2)</f>
        <v>2</v>
      </c>
    </row>
    <row r="2630" spans="1:17" hidden="1" outlineLevel="1">
      <c r="A2630" s="2">
        <v>6</v>
      </c>
      <c r="B2630" s="2">
        <v>17</v>
      </c>
      <c r="C2630" s="2">
        <f>1+C2628</f>
        <v>11</v>
      </c>
      <c r="E2630" s="20" t="str">
        <f>CONCATENATE(A2630,".",B2630,".",C2630)</f>
        <v>6.17.11</v>
      </c>
      <c r="F2630" s="21" t="s">
        <v>4050</v>
      </c>
      <c r="G2630" s="22">
        <v>1276</v>
      </c>
      <c r="H2630" s="23" t="s">
        <v>1253</v>
      </c>
      <c r="I2630" s="24" t="s">
        <v>144</v>
      </c>
      <c r="J2630" s="32"/>
      <c r="K2630" s="10"/>
      <c r="L2630" s="32"/>
      <c r="M2630" s="10"/>
      <c r="N2630" s="33"/>
      <c r="O2630" s="11">
        <f>SUM(O2631)</f>
        <v>24</v>
      </c>
      <c r="P2630" s="185"/>
    </row>
    <row r="2631" spans="1:17" hidden="1" outlineLevel="2">
      <c r="E2631" s="59"/>
      <c r="F2631" s="60"/>
      <c r="G2631" s="34"/>
      <c r="H2631" s="30"/>
      <c r="I2631" s="35"/>
      <c r="J2631" s="41"/>
      <c r="K2631" s="10"/>
      <c r="L2631" s="32"/>
      <c r="M2631" s="10"/>
      <c r="N2631" s="33">
        <v>24</v>
      </c>
      <c r="O2631" s="31">
        <f>ROUND(PRODUCT(J2631:N2631),2)</f>
        <v>24</v>
      </c>
    </row>
    <row r="2632" spans="1:17" hidden="1" outlineLevel="1">
      <c r="A2632" s="2">
        <v>6</v>
      </c>
      <c r="B2632" s="2">
        <v>17</v>
      </c>
      <c r="C2632" s="2">
        <f>1+C2630</f>
        <v>12</v>
      </c>
      <c r="E2632" s="20" t="str">
        <f>CONCATENATE(A2632,".",B2632,".",C2632)</f>
        <v>6.17.12</v>
      </c>
      <c r="F2632" s="21" t="s">
        <v>4051</v>
      </c>
      <c r="G2632" s="22">
        <v>1288</v>
      </c>
      <c r="H2632" s="23" t="s">
        <v>1255</v>
      </c>
      <c r="I2632" s="24" t="s">
        <v>144</v>
      </c>
      <c r="J2632" s="32"/>
      <c r="K2632" s="10"/>
      <c r="L2632" s="32"/>
      <c r="M2632" s="10"/>
      <c r="N2632" s="33"/>
      <c r="O2632" s="11">
        <f>SUM(O2633)</f>
        <v>88</v>
      </c>
      <c r="P2632" s="185"/>
    </row>
    <row r="2633" spans="1:17" hidden="1" outlineLevel="2">
      <c r="E2633" s="59"/>
      <c r="F2633" s="60"/>
      <c r="G2633" s="34"/>
      <c r="H2633" s="30"/>
      <c r="I2633" s="35"/>
      <c r="J2633" s="41"/>
      <c r="K2633" s="10"/>
      <c r="L2633" s="32"/>
      <c r="M2633" s="10"/>
      <c r="N2633" s="33">
        <v>88</v>
      </c>
      <c r="O2633" s="31">
        <f>ROUND(PRODUCT(J2633:N2633),2)</f>
        <v>88</v>
      </c>
    </row>
    <row r="2634" spans="1:17" collapsed="1">
      <c r="E2634" s="42">
        <v>7</v>
      </c>
      <c r="F2634" s="43">
        <v>7</v>
      </c>
      <c r="G2634" s="13"/>
      <c r="H2634" s="14" t="s">
        <v>17</v>
      </c>
      <c r="I2634" s="15"/>
      <c r="J2634" s="16"/>
      <c r="K2634" s="17"/>
      <c r="L2634" s="16"/>
      <c r="M2634" s="17"/>
      <c r="N2634" s="18"/>
      <c r="O2634" s="19"/>
      <c r="P2634" s="185"/>
      <c r="Q2634" s="185"/>
    </row>
    <row r="2635" spans="1:17">
      <c r="A2635" s="2">
        <v>7</v>
      </c>
      <c r="B2635" s="2">
        <v>1</v>
      </c>
      <c r="E2635" s="42" t="str">
        <f>CONCATENATE(A2635,".",B2635)</f>
        <v>7.1</v>
      </c>
      <c r="F2635" s="45" t="s">
        <v>4052</v>
      </c>
      <c r="G2635" s="13"/>
      <c r="H2635" s="14" t="s">
        <v>1965</v>
      </c>
      <c r="I2635" s="15"/>
      <c r="J2635" s="16"/>
      <c r="K2635" s="17"/>
      <c r="L2635" s="16"/>
      <c r="M2635" s="17"/>
      <c r="N2635" s="18"/>
      <c r="O2635" s="19"/>
      <c r="P2635" s="185"/>
      <c r="Q2635" s="185"/>
    </row>
    <row r="2636" spans="1:17" ht="30" hidden="1" outlineLevel="1">
      <c r="A2636" s="2">
        <v>7</v>
      </c>
      <c r="B2636" s="2">
        <v>1</v>
      </c>
      <c r="C2636" s="2">
        <v>1</v>
      </c>
      <c r="E2636" s="20" t="str">
        <f>CONCATENATE(A2636,".",B2636,".",C2636)</f>
        <v>7.1.1</v>
      </c>
      <c r="F2636" s="120" t="s">
        <v>4053</v>
      </c>
      <c r="G2636" s="113">
        <v>99059</v>
      </c>
      <c r="H2636" s="114" t="s">
        <v>2821</v>
      </c>
      <c r="I2636" s="115" t="s">
        <v>144</v>
      </c>
      <c r="J2636" s="131"/>
      <c r="K2636" s="132"/>
      <c r="L2636" s="133"/>
      <c r="M2636" s="132"/>
      <c r="N2636" s="134"/>
      <c r="O2636" s="135">
        <f>SUM(O2637)</f>
        <v>104.52</v>
      </c>
      <c r="P2636" s="185"/>
      <c r="Q2636" s="185"/>
    </row>
    <row r="2637" spans="1:17" hidden="1" outlineLevel="1">
      <c r="E2637" s="20"/>
      <c r="F2637" s="120"/>
      <c r="G2637" s="136"/>
      <c r="H2637" s="118"/>
      <c r="I2637" s="137"/>
      <c r="J2637" s="131"/>
      <c r="K2637" s="138"/>
      <c r="L2637" s="134"/>
      <c r="M2637" s="138"/>
      <c r="N2637" s="134">
        <v>104.52</v>
      </c>
      <c r="O2637" s="139">
        <f>ROUND(PRODUCT(J2637:N2637),2)</f>
        <v>104.52</v>
      </c>
      <c r="P2637" s="185"/>
      <c r="Q2637" s="185"/>
    </row>
    <row r="2638" spans="1:17" ht="45" hidden="1" outlineLevel="1">
      <c r="A2638" s="2">
        <v>7</v>
      </c>
      <c r="B2638" s="2">
        <v>1</v>
      </c>
      <c r="C2638" s="2">
        <f>1+C2636</f>
        <v>2</v>
      </c>
      <c r="E2638" s="20" t="str">
        <f>CONCATENATE(A2638,".",B2638,".",C2638)</f>
        <v>7.1.2</v>
      </c>
      <c r="F2638" s="120" t="s">
        <v>4054</v>
      </c>
      <c r="G2638" s="113">
        <v>96521</v>
      </c>
      <c r="H2638" s="114" t="s">
        <v>1971</v>
      </c>
      <c r="I2638" s="115" t="s">
        <v>126</v>
      </c>
      <c r="J2638" s="131"/>
      <c r="K2638" s="132"/>
      <c r="L2638" s="133"/>
      <c r="M2638" s="132"/>
      <c r="N2638" s="134"/>
      <c r="O2638" s="135">
        <f>SUM(O2639:O2639)</f>
        <v>152.21</v>
      </c>
      <c r="P2638" s="185"/>
      <c r="Q2638" s="185"/>
    </row>
    <row r="2639" spans="1:17" hidden="1" outlineLevel="1">
      <c r="E2639" s="20"/>
      <c r="F2639" s="120"/>
      <c r="G2639" s="136"/>
      <c r="H2639" s="118" t="s">
        <v>2823</v>
      </c>
      <c r="I2639" s="137"/>
      <c r="J2639" s="131"/>
      <c r="K2639" s="138"/>
      <c r="L2639" s="134"/>
      <c r="M2639" s="138"/>
      <c r="N2639" s="134">
        <v>152.21</v>
      </c>
      <c r="O2639" s="139">
        <f>ROUND(PRODUCT(J2639:N2639),2)</f>
        <v>152.21</v>
      </c>
      <c r="P2639" s="185"/>
      <c r="Q2639" s="185"/>
    </row>
    <row r="2640" spans="1:17" ht="30" hidden="1" outlineLevel="1">
      <c r="E2640" s="20"/>
      <c r="F2640" s="120" t="s">
        <v>4055</v>
      </c>
      <c r="G2640" s="113">
        <v>96525</v>
      </c>
      <c r="H2640" s="114" t="s">
        <v>1974</v>
      </c>
      <c r="I2640" s="115" t="s">
        <v>126</v>
      </c>
      <c r="J2640" s="131"/>
      <c r="K2640" s="132"/>
      <c r="L2640" s="133"/>
      <c r="M2640" s="132"/>
      <c r="N2640" s="134"/>
      <c r="O2640" s="135">
        <f>SUM(O2641:O2641)</f>
        <v>38.11</v>
      </c>
      <c r="P2640" s="185"/>
      <c r="Q2640" s="185"/>
    </row>
    <row r="2641" spans="1:17" hidden="1" outlineLevel="1">
      <c r="E2641" s="20"/>
      <c r="F2641" s="120"/>
      <c r="G2641" s="136"/>
      <c r="H2641" s="118" t="s">
        <v>2825</v>
      </c>
      <c r="I2641" s="137"/>
      <c r="J2641" s="131"/>
      <c r="K2641" s="138"/>
      <c r="L2641" s="134"/>
      <c r="M2641" s="138"/>
      <c r="N2641" s="134">
        <v>38.11</v>
      </c>
      <c r="O2641" s="139">
        <f>ROUND(PRODUCT(J2641:N2641),2)</f>
        <v>38.11</v>
      </c>
      <c r="P2641" s="185"/>
      <c r="Q2641" s="185"/>
    </row>
    <row r="2642" spans="1:17" ht="30" hidden="1" outlineLevel="1">
      <c r="A2642" s="2">
        <v>7</v>
      </c>
      <c r="B2642" s="2">
        <v>1</v>
      </c>
      <c r="C2642" s="2">
        <f>1+C2638</f>
        <v>3</v>
      </c>
      <c r="E2642" s="20" t="str">
        <f>CONCATENATE(A2642,".",B2642,".",C2642)</f>
        <v>7.1.3</v>
      </c>
      <c r="F2642" s="120" t="s">
        <v>4056</v>
      </c>
      <c r="G2642" s="113">
        <v>96619</v>
      </c>
      <c r="H2642" s="114" t="s">
        <v>1977</v>
      </c>
      <c r="I2642" s="115" t="s">
        <v>45</v>
      </c>
      <c r="J2642" s="131"/>
      <c r="K2642" s="132"/>
      <c r="L2642" s="133"/>
      <c r="M2642" s="132"/>
      <c r="N2642" s="134"/>
      <c r="O2642" s="135">
        <f>SUM(O2643:O2643)</f>
        <v>74.25</v>
      </c>
      <c r="P2642" s="185"/>
      <c r="Q2642" s="185"/>
    </row>
    <row r="2643" spans="1:17" hidden="1" outlineLevel="1">
      <c r="E2643" s="20"/>
      <c r="F2643" s="120"/>
      <c r="G2643" s="136"/>
      <c r="H2643" s="118"/>
      <c r="I2643" s="137"/>
      <c r="J2643" s="131"/>
      <c r="K2643" s="138"/>
      <c r="L2643" s="134"/>
      <c r="M2643" s="138"/>
      <c r="N2643" s="134">
        <v>74.25</v>
      </c>
      <c r="O2643" s="139">
        <f>ROUND(PRODUCT(J2643:N2643),2)</f>
        <v>74.25</v>
      </c>
      <c r="P2643" s="185"/>
      <c r="Q2643" s="185"/>
    </row>
    <row r="2644" spans="1:17" ht="30" hidden="1" outlineLevel="1">
      <c r="E2644" s="20"/>
      <c r="F2644" s="120" t="s">
        <v>4057</v>
      </c>
      <c r="G2644" s="113">
        <v>96557</v>
      </c>
      <c r="H2644" s="114" t="s">
        <v>1980</v>
      </c>
      <c r="I2644" s="115" t="s">
        <v>126</v>
      </c>
      <c r="J2644" s="131"/>
      <c r="K2644" s="132"/>
      <c r="L2644" s="133"/>
      <c r="M2644" s="132"/>
      <c r="N2644" s="134"/>
      <c r="O2644" s="135">
        <f>SUM(O2645:O2645)</f>
        <v>19.2</v>
      </c>
      <c r="P2644" s="185"/>
      <c r="Q2644" s="185"/>
    </row>
    <row r="2645" spans="1:17" hidden="1" outlineLevel="1">
      <c r="E2645" s="20"/>
      <c r="F2645" s="120"/>
      <c r="G2645" s="136"/>
      <c r="H2645" s="118" t="s">
        <v>2828</v>
      </c>
      <c r="I2645" s="137"/>
      <c r="J2645" s="131"/>
      <c r="K2645" s="138"/>
      <c r="L2645" s="134"/>
      <c r="M2645" s="138"/>
      <c r="N2645" s="134">
        <v>19.2</v>
      </c>
      <c r="O2645" s="139">
        <f>ROUND(PRODUCT(J2645:N2645),2)</f>
        <v>19.2</v>
      </c>
      <c r="P2645" s="185"/>
      <c r="Q2645" s="185"/>
    </row>
    <row r="2646" spans="1:17" ht="30" hidden="1" outlineLevel="1">
      <c r="A2646" s="2">
        <v>7</v>
      </c>
      <c r="B2646" s="2">
        <v>1</v>
      </c>
      <c r="C2646" s="2">
        <f>1+C2642</f>
        <v>4</v>
      </c>
      <c r="E2646" s="20" t="str">
        <f>CONCATENATE(A2646,".",B2646,".",C2646)</f>
        <v>7.1.4</v>
      </c>
      <c r="F2646" s="120" t="s">
        <v>4058</v>
      </c>
      <c r="G2646" s="113">
        <v>96535</v>
      </c>
      <c r="H2646" s="114" t="s">
        <v>1983</v>
      </c>
      <c r="I2646" s="115" t="s">
        <v>45</v>
      </c>
      <c r="J2646" s="131"/>
      <c r="K2646" s="132"/>
      <c r="L2646" s="133"/>
      <c r="M2646" s="132"/>
      <c r="N2646" s="134"/>
      <c r="O2646" s="135">
        <f>SUM(O2647:O2647)</f>
        <v>32.700000000000003</v>
      </c>
      <c r="P2646" s="185"/>
      <c r="Q2646" s="185"/>
    </row>
    <row r="2647" spans="1:17" hidden="1" outlineLevel="1">
      <c r="E2647" s="20"/>
      <c r="F2647" s="120"/>
      <c r="G2647" s="136"/>
      <c r="H2647" s="118"/>
      <c r="I2647" s="137"/>
      <c r="J2647" s="131"/>
      <c r="K2647" s="138"/>
      <c r="L2647" s="134"/>
      <c r="M2647" s="138"/>
      <c r="N2647" s="134">
        <v>32.700000000000003</v>
      </c>
      <c r="O2647" s="139">
        <f>ROUND(PRODUCT(J2647:N2647),2)</f>
        <v>32.700000000000003</v>
      </c>
      <c r="P2647" s="185"/>
      <c r="Q2647" s="185"/>
    </row>
    <row r="2648" spans="1:17" ht="30" hidden="1" outlineLevel="1">
      <c r="E2648" s="20"/>
      <c r="F2648" s="120" t="s">
        <v>4059</v>
      </c>
      <c r="G2648" s="113">
        <v>96536</v>
      </c>
      <c r="H2648" s="114" t="s">
        <v>1986</v>
      </c>
      <c r="I2648" s="115" t="s">
        <v>45</v>
      </c>
      <c r="J2648" s="131"/>
      <c r="K2648" s="132"/>
      <c r="L2648" s="133"/>
      <c r="M2648" s="132"/>
      <c r="N2648" s="134"/>
      <c r="O2648" s="135">
        <f>SUM(O2649:O2649)</f>
        <v>252</v>
      </c>
      <c r="P2648" s="185"/>
      <c r="Q2648" s="185"/>
    </row>
    <row r="2649" spans="1:17" hidden="1" outlineLevel="1">
      <c r="E2649" s="20"/>
      <c r="F2649" s="120"/>
      <c r="G2649" s="136"/>
      <c r="H2649" s="118"/>
      <c r="I2649" s="137"/>
      <c r="J2649" s="131"/>
      <c r="K2649" s="138"/>
      <c r="L2649" s="134"/>
      <c r="M2649" s="138"/>
      <c r="N2649" s="134">
        <v>252</v>
      </c>
      <c r="O2649" s="139">
        <f>ROUND(PRODUCT(J2649:N2649),2)</f>
        <v>252</v>
      </c>
      <c r="P2649" s="185"/>
      <c r="Q2649" s="185"/>
    </row>
    <row r="2650" spans="1:17" ht="45" hidden="1" outlineLevel="1">
      <c r="E2650" s="20"/>
      <c r="F2650" s="120" t="s">
        <v>4060</v>
      </c>
      <c r="G2650" s="113">
        <v>92439</v>
      </c>
      <c r="H2650" s="114" t="s">
        <v>1989</v>
      </c>
      <c r="I2650" s="115" t="s">
        <v>45</v>
      </c>
      <c r="J2650" s="131"/>
      <c r="K2650" s="132"/>
      <c r="L2650" s="133"/>
      <c r="M2650" s="132"/>
      <c r="N2650" s="134"/>
      <c r="O2650" s="135">
        <f>SUM(O2651:O2651)</f>
        <v>65.400000000000006</v>
      </c>
      <c r="P2650" s="185"/>
      <c r="Q2650" s="185"/>
    </row>
    <row r="2651" spans="1:17" hidden="1" outlineLevel="1">
      <c r="E2651" s="20"/>
      <c r="F2651" s="120"/>
      <c r="G2651" s="136"/>
      <c r="H2651" s="118"/>
      <c r="I2651" s="137"/>
      <c r="J2651" s="131"/>
      <c r="K2651" s="138"/>
      <c r="L2651" s="134"/>
      <c r="M2651" s="138"/>
      <c r="N2651" s="134">
        <v>65.400000000000006</v>
      </c>
      <c r="O2651" s="139">
        <f>ROUND(PRODUCT(J2651:N2651),2)</f>
        <v>65.400000000000006</v>
      </c>
      <c r="P2651" s="185"/>
      <c r="Q2651" s="185"/>
    </row>
    <row r="2652" spans="1:17" ht="30" hidden="1" outlineLevel="1">
      <c r="E2652" s="20"/>
      <c r="F2652" s="120" t="s">
        <v>4061</v>
      </c>
      <c r="G2652" s="113">
        <v>104916</v>
      </c>
      <c r="H2652" s="114" t="s">
        <v>1992</v>
      </c>
      <c r="I2652" s="115" t="s">
        <v>80</v>
      </c>
      <c r="J2652" s="131"/>
      <c r="K2652" s="132"/>
      <c r="L2652" s="133"/>
      <c r="M2652" s="132"/>
      <c r="N2652" s="134"/>
      <c r="O2652" s="135">
        <f>SUM(O2653:O2653)</f>
        <v>240</v>
      </c>
      <c r="P2652" s="185"/>
      <c r="Q2652" s="185"/>
    </row>
    <row r="2653" spans="1:17" hidden="1" outlineLevel="1">
      <c r="E2653" s="20"/>
      <c r="F2653" s="120"/>
      <c r="G2653" s="136"/>
      <c r="H2653" s="118" t="s">
        <v>2825</v>
      </c>
      <c r="I2653" s="140"/>
      <c r="J2653" s="140"/>
      <c r="K2653" s="138"/>
      <c r="L2653" s="138"/>
      <c r="M2653" s="140"/>
      <c r="N2653" s="138">
        <v>240</v>
      </c>
      <c r="O2653" s="139">
        <f>ROUND(PRODUCT(J2653:N2653),2)</f>
        <v>240</v>
      </c>
      <c r="P2653" s="185"/>
      <c r="Q2653" s="185"/>
    </row>
    <row r="2654" spans="1:17" ht="30" hidden="1" outlineLevel="1">
      <c r="E2654" s="20"/>
      <c r="F2654" s="120" t="s">
        <v>4062</v>
      </c>
      <c r="G2654" s="113">
        <v>104919</v>
      </c>
      <c r="H2654" s="114" t="s">
        <v>2001</v>
      </c>
      <c r="I2654" s="115" t="s">
        <v>80</v>
      </c>
      <c r="J2654" s="141"/>
      <c r="K2654" s="132"/>
      <c r="L2654" s="133"/>
      <c r="M2654" s="142"/>
      <c r="N2654" s="134"/>
      <c r="O2654" s="135">
        <f>SUM(O2655:O2656)</f>
        <v>488.83</v>
      </c>
      <c r="P2654" s="185"/>
      <c r="Q2654" s="185"/>
    </row>
    <row r="2655" spans="1:17" hidden="1" outlineLevel="1">
      <c r="E2655" s="20"/>
      <c r="F2655" s="120"/>
      <c r="G2655" s="136"/>
      <c r="H2655" s="118" t="s">
        <v>2823</v>
      </c>
      <c r="I2655" s="140"/>
      <c r="J2655" s="140"/>
      <c r="K2655" s="138"/>
      <c r="L2655" s="138"/>
      <c r="M2655" s="140"/>
      <c r="N2655" s="138">
        <v>280.45999999999998</v>
      </c>
      <c r="O2655" s="139">
        <f>ROUND(PRODUCT(J2655:N2655),2)</f>
        <v>280.45999999999998</v>
      </c>
      <c r="P2655" s="185"/>
      <c r="Q2655" s="185"/>
    </row>
    <row r="2656" spans="1:17" hidden="1" outlineLevel="1">
      <c r="E2656" s="20"/>
      <c r="F2656" s="120"/>
      <c r="G2656" s="136"/>
      <c r="H2656" s="118" t="s">
        <v>2828</v>
      </c>
      <c r="I2656" s="140"/>
      <c r="J2656" s="140"/>
      <c r="K2656" s="138"/>
      <c r="L2656" s="138"/>
      <c r="M2656" s="140"/>
      <c r="N2656" s="138">
        <v>208.37</v>
      </c>
      <c r="O2656" s="139">
        <f>ROUND(PRODUCT(J2656:N2656),2)</f>
        <v>208.37</v>
      </c>
      <c r="P2656" s="185"/>
      <c r="Q2656" s="185"/>
    </row>
    <row r="2657" spans="1:17" ht="30" hidden="1" outlineLevel="1">
      <c r="E2657" s="20"/>
      <c r="F2657" s="120" t="s">
        <v>4063</v>
      </c>
      <c r="G2657" s="113">
        <v>104920</v>
      </c>
      <c r="H2657" s="114" t="s">
        <v>2004</v>
      </c>
      <c r="I2657" s="115" t="s">
        <v>80</v>
      </c>
      <c r="J2657" s="141"/>
      <c r="K2657" s="132"/>
      <c r="L2657" s="133"/>
      <c r="M2657" s="142"/>
      <c r="N2657" s="134"/>
      <c r="O2657" s="135">
        <f>SUM(O2658:O2658)</f>
        <v>299.27999999999997</v>
      </c>
      <c r="P2657" s="185"/>
      <c r="Q2657" s="185"/>
    </row>
    <row r="2658" spans="1:17" hidden="1" outlineLevel="1">
      <c r="E2658" s="20"/>
      <c r="F2658" s="120"/>
      <c r="G2658" s="136"/>
      <c r="H2658" s="118" t="s">
        <v>2828</v>
      </c>
      <c r="I2658" s="140"/>
      <c r="J2658" s="140"/>
      <c r="K2658" s="138"/>
      <c r="L2658" s="138"/>
      <c r="M2658" s="140"/>
      <c r="N2658" s="138">
        <v>299.27999999999997</v>
      </c>
      <c r="O2658" s="139">
        <f>ROUND(PRODUCT(J2658:N2658),2)</f>
        <v>299.27999999999997</v>
      </c>
      <c r="P2658" s="185"/>
      <c r="Q2658" s="185"/>
    </row>
    <row r="2659" spans="1:17" ht="30" hidden="1" outlineLevel="1">
      <c r="E2659" s="20"/>
      <c r="F2659" s="120" t="s">
        <v>4064</v>
      </c>
      <c r="G2659" s="113">
        <v>92759</v>
      </c>
      <c r="H2659" s="114" t="s">
        <v>79</v>
      </c>
      <c r="I2659" s="115" t="s">
        <v>80</v>
      </c>
      <c r="J2659" s="141"/>
      <c r="K2659" s="132"/>
      <c r="L2659" s="133"/>
      <c r="M2659" s="142"/>
      <c r="N2659" s="134"/>
      <c r="O2659" s="135">
        <f>SUM(O2660)</f>
        <v>98.09</v>
      </c>
      <c r="P2659" s="185"/>
      <c r="Q2659" s="185"/>
    </row>
    <row r="2660" spans="1:17" hidden="1" outlineLevel="1">
      <c r="E2660" s="20"/>
      <c r="F2660" s="120"/>
      <c r="G2660" s="136"/>
      <c r="H2660" s="118"/>
      <c r="I2660" s="140"/>
      <c r="J2660" s="140"/>
      <c r="K2660" s="138"/>
      <c r="L2660" s="138"/>
      <c r="M2660" s="140"/>
      <c r="N2660" s="138">
        <v>98.09</v>
      </c>
      <c r="O2660" s="139">
        <f>ROUND(PRODUCT(J2660:N2660),2)</f>
        <v>98.09</v>
      </c>
      <c r="P2660" s="185"/>
      <c r="Q2660" s="185"/>
    </row>
    <row r="2661" spans="1:17" ht="30" hidden="1" outlineLevel="1">
      <c r="E2661" s="20"/>
      <c r="F2661" s="120" t="s">
        <v>4065</v>
      </c>
      <c r="G2661" s="113">
        <v>92762</v>
      </c>
      <c r="H2661" s="114" t="s">
        <v>89</v>
      </c>
      <c r="I2661" s="115" t="s">
        <v>80</v>
      </c>
      <c r="J2661" s="131"/>
      <c r="K2661" s="132"/>
      <c r="L2661" s="133"/>
      <c r="M2661" s="142"/>
      <c r="N2661" s="134"/>
      <c r="O2661" s="135">
        <f>SUM(O2662)</f>
        <v>127.27</v>
      </c>
      <c r="P2661" s="185"/>
      <c r="Q2661" s="185"/>
    </row>
    <row r="2662" spans="1:17" hidden="1" outlineLevel="1">
      <c r="E2662" s="20"/>
      <c r="F2662" s="120"/>
      <c r="G2662" s="136"/>
      <c r="H2662" s="118"/>
      <c r="I2662" s="140"/>
      <c r="J2662" s="140"/>
      <c r="K2662" s="138"/>
      <c r="L2662" s="138"/>
      <c r="M2662" s="140"/>
      <c r="N2662" s="138">
        <v>127.27</v>
      </c>
      <c r="O2662" s="139">
        <f>ROUND(PRODUCT(J2662:N2662),2)</f>
        <v>127.27</v>
      </c>
      <c r="P2662" s="185"/>
      <c r="Q2662" s="185"/>
    </row>
    <row r="2663" spans="1:17" ht="30" hidden="1" outlineLevel="1">
      <c r="A2663" s="2">
        <v>7</v>
      </c>
      <c r="B2663" s="2">
        <v>1</v>
      </c>
      <c r="C2663" s="2">
        <f>1+C2646</f>
        <v>5</v>
      </c>
      <c r="E2663" s="20" t="str">
        <f>CONCATENATE(A2663,".",B2663,".",C2663)</f>
        <v>7.1.5</v>
      </c>
      <c r="F2663" s="120" t="s">
        <v>4066</v>
      </c>
      <c r="G2663" s="113">
        <v>92763</v>
      </c>
      <c r="H2663" s="114" t="s">
        <v>92</v>
      </c>
      <c r="I2663" s="115" t="s">
        <v>80</v>
      </c>
      <c r="J2663" s="141"/>
      <c r="K2663" s="132"/>
      <c r="L2663" s="133"/>
      <c r="M2663" s="142"/>
      <c r="N2663" s="134"/>
      <c r="O2663" s="135">
        <f>SUM(O2664)</f>
        <v>83.55</v>
      </c>
      <c r="P2663" s="185"/>
      <c r="Q2663" s="185"/>
    </row>
    <row r="2664" spans="1:17" hidden="1" outlineLevel="1">
      <c r="E2664" s="20"/>
      <c r="F2664" s="120"/>
      <c r="G2664" s="136"/>
      <c r="H2664" s="118"/>
      <c r="I2664" s="140"/>
      <c r="J2664" s="140"/>
      <c r="K2664" s="138"/>
      <c r="L2664" s="138"/>
      <c r="M2664" s="140"/>
      <c r="N2664" s="138">
        <v>83.55</v>
      </c>
      <c r="O2664" s="139">
        <f>ROUND(PRODUCT(J2664:N2664),2)</f>
        <v>83.55</v>
      </c>
      <c r="P2664" s="185"/>
      <c r="Q2664" s="185"/>
    </row>
    <row r="2665" spans="1:17" ht="30" hidden="1" outlineLevel="1">
      <c r="A2665" s="2">
        <v>7</v>
      </c>
      <c r="B2665" s="2">
        <v>1</v>
      </c>
      <c r="C2665" s="2">
        <f>1+C2663</f>
        <v>6</v>
      </c>
      <c r="E2665" s="20" t="str">
        <f>CONCATENATE(A2665,".",B2665,".",C2665)</f>
        <v>7.1.6</v>
      </c>
      <c r="F2665" s="120" t="s">
        <v>4067</v>
      </c>
      <c r="G2665" s="113">
        <v>92764</v>
      </c>
      <c r="H2665" s="114" t="s">
        <v>95</v>
      </c>
      <c r="I2665" s="115" t="s">
        <v>80</v>
      </c>
      <c r="J2665" s="141"/>
      <c r="K2665" s="132"/>
      <c r="L2665" s="133"/>
      <c r="M2665" s="142"/>
      <c r="N2665" s="134"/>
      <c r="O2665" s="135">
        <f>SUM(O2666)</f>
        <v>50.2</v>
      </c>
      <c r="P2665" s="185"/>
      <c r="Q2665" s="185"/>
    </row>
    <row r="2666" spans="1:17" hidden="1" outlineLevel="1">
      <c r="E2666" s="20"/>
      <c r="F2666" s="120"/>
      <c r="G2666" s="136"/>
      <c r="H2666" s="118"/>
      <c r="I2666" s="140"/>
      <c r="J2666" s="140"/>
      <c r="K2666" s="138"/>
      <c r="L2666" s="138"/>
      <c r="M2666" s="140"/>
      <c r="N2666" s="138">
        <v>50.2</v>
      </c>
      <c r="O2666" s="139">
        <f>ROUND(PRODUCT(J2666:N2666),2)</f>
        <v>50.2</v>
      </c>
      <c r="P2666" s="185"/>
      <c r="Q2666" s="185"/>
    </row>
    <row r="2667" spans="1:17" ht="30" hidden="1" outlineLevel="1">
      <c r="E2667" s="20"/>
      <c r="F2667" s="120" t="s">
        <v>4068</v>
      </c>
      <c r="G2667" s="113">
        <v>92765</v>
      </c>
      <c r="H2667" s="114" t="s">
        <v>98</v>
      </c>
      <c r="I2667" s="115" t="s">
        <v>80</v>
      </c>
      <c r="J2667" s="131"/>
      <c r="K2667" s="132"/>
      <c r="L2667" s="133"/>
      <c r="M2667" s="142"/>
      <c r="N2667" s="134"/>
      <c r="O2667" s="135">
        <f>SUM(O2668:O2668)</f>
        <v>437.19</v>
      </c>
      <c r="P2667" s="185"/>
      <c r="Q2667" s="185"/>
    </row>
    <row r="2668" spans="1:17" hidden="1" outlineLevel="1">
      <c r="E2668" s="20"/>
      <c r="F2668" s="120"/>
      <c r="G2668" s="136"/>
      <c r="H2668" s="118"/>
      <c r="I2668" s="137"/>
      <c r="J2668" s="143"/>
      <c r="K2668" s="138"/>
      <c r="L2668" s="134"/>
      <c r="M2668" s="140"/>
      <c r="N2668" s="134">
        <v>437.19</v>
      </c>
      <c r="O2668" s="139">
        <f>ROUND(PRODUCT(J2668:N2668),2)</f>
        <v>437.19</v>
      </c>
      <c r="P2668" s="185"/>
      <c r="Q2668" s="185"/>
    </row>
    <row r="2669" spans="1:17" ht="30" hidden="1" outlineLevel="1">
      <c r="E2669" s="20"/>
      <c r="F2669" s="120" t="s">
        <v>4069</v>
      </c>
      <c r="G2669" s="113">
        <v>104918</v>
      </c>
      <c r="H2669" s="114" t="s">
        <v>2012</v>
      </c>
      <c r="I2669" s="115" t="s">
        <v>80</v>
      </c>
      <c r="J2669" s="131"/>
      <c r="K2669" s="132"/>
      <c r="L2669" s="133"/>
      <c r="M2669" s="142"/>
      <c r="N2669" s="134"/>
      <c r="O2669" s="135">
        <f>SUM(O2670:O2671)</f>
        <v>523.64</v>
      </c>
      <c r="P2669" s="185"/>
      <c r="Q2669" s="185"/>
    </row>
    <row r="2670" spans="1:17" hidden="1" outlineLevel="1">
      <c r="E2670" s="20"/>
      <c r="F2670" s="120"/>
      <c r="G2670" s="136"/>
      <c r="H2670" s="118" t="s">
        <v>2823</v>
      </c>
      <c r="I2670" s="137"/>
      <c r="J2670" s="143"/>
      <c r="K2670" s="138"/>
      <c r="L2670" s="134"/>
      <c r="M2670" s="140"/>
      <c r="N2670" s="134">
        <v>218.55</v>
      </c>
      <c r="O2670" s="139">
        <f>ROUND(PRODUCT(J2670:N2670),2)</f>
        <v>218.55</v>
      </c>
      <c r="P2670" s="185"/>
      <c r="Q2670" s="185"/>
    </row>
    <row r="2671" spans="1:17" hidden="1" outlineLevel="1">
      <c r="E2671" s="20"/>
      <c r="F2671" s="120"/>
      <c r="G2671" s="136"/>
      <c r="H2671" s="118" t="s">
        <v>2828</v>
      </c>
      <c r="I2671" s="137"/>
      <c r="J2671" s="143"/>
      <c r="K2671" s="138"/>
      <c r="L2671" s="134"/>
      <c r="M2671" s="140"/>
      <c r="N2671" s="134">
        <v>305.08999999999997</v>
      </c>
      <c r="O2671" s="139">
        <f>ROUND(PRODUCT(J2671:N2671),2)</f>
        <v>305.08999999999997</v>
      </c>
      <c r="P2671" s="185"/>
      <c r="Q2671" s="185"/>
    </row>
    <row r="2672" spans="1:17" ht="30" hidden="1" outlineLevel="1">
      <c r="E2672" s="20"/>
      <c r="F2672" s="120" t="s">
        <v>4070</v>
      </c>
      <c r="G2672" s="113" t="s">
        <v>2014</v>
      </c>
      <c r="H2672" s="114" t="s">
        <v>2015</v>
      </c>
      <c r="I2672" s="115" t="s">
        <v>126</v>
      </c>
      <c r="J2672" s="131"/>
      <c r="K2672" s="132"/>
      <c r="L2672" s="133"/>
      <c r="M2672" s="132"/>
      <c r="N2672" s="134"/>
      <c r="O2672" s="135">
        <f>SUM(O2673:O2674)</f>
        <v>154.01999999999998</v>
      </c>
      <c r="P2672" s="185"/>
      <c r="Q2672" s="185"/>
    </row>
    <row r="2673" spans="1:17" hidden="1" outlineLevel="1">
      <c r="E2673" s="20"/>
      <c r="F2673" s="120"/>
      <c r="G2673" s="136"/>
      <c r="H2673" s="118" t="s">
        <v>2842</v>
      </c>
      <c r="I2673" s="137"/>
      <c r="J2673" s="131"/>
      <c r="K2673" s="138"/>
      <c r="L2673" s="134"/>
      <c r="M2673" s="138"/>
      <c r="N2673" s="134">
        <f>O2638+O2640</f>
        <v>190.32</v>
      </c>
      <c r="O2673" s="139">
        <f>ROUND(PRODUCT(J2673:N2673),2)</f>
        <v>190.32</v>
      </c>
      <c r="P2673" s="185"/>
      <c r="Q2673" s="185"/>
    </row>
    <row r="2674" spans="1:17" hidden="1" outlineLevel="1">
      <c r="E2674" s="20"/>
      <c r="F2674" s="120"/>
      <c r="G2674" s="136"/>
      <c r="H2674" s="118" t="s">
        <v>2843</v>
      </c>
      <c r="I2674" s="137"/>
      <c r="J2674" s="143">
        <v>-1</v>
      </c>
      <c r="K2674" s="143"/>
      <c r="L2674" s="143"/>
      <c r="M2674" s="143"/>
      <c r="N2674" s="134">
        <f>O2644+O2675</f>
        <v>36.299999999999997</v>
      </c>
      <c r="O2674" s="144">
        <f>ROUND(PRODUCT(J2674:N2674),2)</f>
        <v>-36.299999999999997</v>
      </c>
      <c r="P2674" s="185"/>
      <c r="Q2674" s="185"/>
    </row>
    <row r="2675" spans="1:17" ht="30" hidden="1" outlineLevel="1">
      <c r="E2675" s="20"/>
      <c r="F2675" s="120" t="s">
        <v>4071</v>
      </c>
      <c r="G2675" s="113">
        <v>96558</v>
      </c>
      <c r="H2675" s="114" t="s">
        <v>2018</v>
      </c>
      <c r="I2675" s="115" t="s">
        <v>276</v>
      </c>
      <c r="J2675" s="131"/>
      <c r="K2675" s="132"/>
      <c r="L2675" s="133"/>
      <c r="M2675" s="132"/>
      <c r="N2675" s="134"/>
      <c r="O2675" s="135">
        <f>SUM(O2676)</f>
        <v>17.100000000000001</v>
      </c>
      <c r="P2675" s="185"/>
      <c r="Q2675" s="185"/>
    </row>
    <row r="2676" spans="1:17" hidden="1" outlineLevel="1">
      <c r="A2676" s="2">
        <v>7</v>
      </c>
      <c r="B2676" s="2">
        <v>1</v>
      </c>
      <c r="C2676" s="2" t="e">
        <f>1+#REF!</f>
        <v>#REF!</v>
      </c>
      <c r="E2676" s="20" t="e">
        <f>CONCATENATE(A2676,".",B2676,".",C2676)</f>
        <v>#REF!</v>
      </c>
      <c r="F2676" s="120"/>
      <c r="G2676" s="136"/>
      <c r="H2676" s="118"/>
      <c r="I2676" s="137"/>
      <c r="J2676" s="143"/>
      <c r="K2676" s="138"/>
      <c r="L2676" s="134"/>
      <c r="M2676" s="138"/>
      <c r="N2676" s="134">
        <v>17.100000000000001</v>
      </c>
      <c r="O2676" s="139">
        <f>ROUND(PRODUCT(J2676:N2676),2)</f>
        <v>17.100000000000001</v>
      </c>
      <c r="P2676" s="185"/>
      <c r="Q2676" s="185"/>
    </row>
    <row r="2677" spans="1:17" ht="45" hidden="1" outlineLevel="1">
      <c r="E2677" s="20"/>
      <c r="F2677" s="120" t="s">
        <v>4072</v>
      </c>
      <c r="G2677" s="113">
        <v>604</v>
      </c>
      <c r="H2677" s="114" t="s">
        <v>2846</v>
      </c>
      <c r="I2677" s="115" t="s">
        <v>276</v>
      </c>
      <c r="J2677" s="131"/>
      <c r="K2677" s="132"/>
      <c r="L2677" s="133"/>
      <c r="M2677" s="132"/>
      <c r="N2677" s="134"/>
      <c r="O2677" s="135">
        <f>SUM(O2678)</f>
        <v>4.5</v>
      </c>
      <c r="P2677" s="185"/>
      <c r="Q2677" s="185"/>
    </row>
    <row r="2678" spans="1:17" hidden="1" outlineLevel="1">
      <c r="A2678" s="2">
        <v>7</v>
      </c>
      <c r="B2678" s="2">
        <v>1</v>
      </c>
      <c r="C2678" s="2" t="e">
        <f>1+#REF!</f>
        <v>#REF!</v>
      </c>
      <c r="E2678" s="20" t="e">
        <f>CONCATENATE(A2678,".",B2678,".",C2678)</f>
        <v>#REF!</v>
      </c>
      <c r="F2678" s="120"/>
      <c r="G2678" s="136"/>
      <c r="H2678" s="118" t="s">
        <v>2847</v>
      </c>
      <c r="I2678" s="137"/>
      <c r="J2678" s="131"/>
      <c r="K2678" s="138"/>
      <c r="L2678" s="134"/>
      <c r="M2678" s="138"/>
      <c r="N2678" s="134">
        <v>4.5</v>
      </c>
      <c r="O2678" s="139">
        <f>ROUND(PRODUCT(J2678:N2678),2)</f>
        <v>4.5</v>
      </c>
      <c r="P2678" s="185"/>
      <c r="Q2678" s="185"/>
    </row>
    <row r="2679" spans="1:17" ht="45" hidden="1" outlineLevel="1">
      <c r="E2679" s="20"/>
      <c r="F2679" s="120" t="s">
        <v>4073</v>
      </c>
      <c r="G2679" s="113">
        <v>101166</v>
      </c>
      <c r="H2679" s="114" t="s">
        <v>1721</v>
      </c>
      <c r="I2679" s="115" t="s">
        <v>2815</v>
      </c>
      <c r="J2679" s="131"/>
      <c r="K2679" s="132"/>
      <c r="L2679" s="133"/>
      <c r="M2679" s="132"/>
      <c r="N2679" s="134"/>
      <c r="O2679" s="135">
        <f>SUM(O2680)</f>
        <v>23.29</v>
      </c>
      <c r="P2679" s="185"/>
      <c r="Q2679" s="185"/>
    </row>
    <row r="2680" spans="1:17" hidden="1" outlineLevel="1">
      <c r="A2680" s="2">
        <v>7</v>
      </c>
      <c r="B2680" s="2">
        <v>1</v>
      </c>
      <c r="C2680" s="2" t="e">
        <f>1+C2678</f>
        <v>#REF!</v>
      </c>
      <c r="E2680" s="20" t="e">
        <f>CONCATENATE(A2680,".",B2680,".",C2680)</f>
        <v>#REF!</v>
      </c>
      <c r="F2680" s="21"/>
      <c r="G2680" s="22"/>
      <c r="H2680" s="23"/>
      <c r="I2680" s="24"/>
      <c r="J2680" s="46"/>
      <c r="K2680" s="10"/>
      <c r="L2680" s="32"/>
      <c r="M2680" s="47"/>
      <c r="N2680" s="33">
        <v>23.29</v>
      </c>
      <c r="O2680" s="139">
        <f>ROUND(PRODUCT(J2680:N2680),2)</f>
        <v>23.29</v>
      </c>
      <c r="P2680" s="185"/>
      <c r="Q2680" s="185"/>
    </row>
    <row r="2681" spans="1:17" collapsed="1">
      <c r="A2681" s="2">
        <v>7</v>
      </c>
      <c r="B2681" s="2">
        <v>2</v>
      </c>
      <c r="E2681" s="42" t="str">
        <f>CONCATENATE(A2681,".",B2681)</f>
        <v>7.2</v>
      </c>
      <c r="F2681" s="45" t="s">
        <v>4074</v>
      </c>
      <c r="G2681" s="13"/>
      <c r="H2681" s="14" t="s">
        <v>76</v>
      </c>
      <c r="I2681" s="15"/>
      <c r="J2681" s="16"/>
      <c r="K2681" s="17"/>
      <c r="L2681" s="16"/>
      <c r="M2681" s="17"/>
      <c r="N2681" s="18"/>
      <c r="O2681" s="19"/>
      <c r="P2681" s="185"/>
      <c r="Q2681" s="185"/>
    </row>
    <row r="2682" spans="1:17" ht="30" hidden="1" outlineLevel="1">
      <c r="A2682" s="2">
        <v>7</v>
      </c>
      <c r="B2682" s="2">
        <v>2</v>
      </c>
      <c r="C2682" s="2">
        <v>1</v>
      </c>
      <c r="E2682" s="20" t="str">
        <f>CONCATENATE(A2682,".",B2682,".",C2682)</f>
        <v>7.2.1</v>
      </c>
      <c r="F2682" s="120" t="s">
        <v>4075</v>
      </c>
      <c r="G2682" s="113" t="s">
        <v>78</v>
      </c>
      <c r="H2682" s="114" t="s">
        <v>79</v>
      </c>
      <c r="I2682" s="115" t="s">
        <v>80</v>
      </c>
      <c r="J2682" s="131"/>
      <c r="K2682" s="132"/>
      <c r="L2682" s="133"/>
      <c r="M2682" s="132"/>
      <c r="N2682" s="134"/>
      <c r="O2682" s="135">
        <f>SUM(O2683:O2684)</f>
        <v>552.36</v>
      </c>
      <c r="P2682" s="185"/>
      <c r="Q2682" s="185"/>
    </row>
    <row r="2683" spans="1:17" hidden="1" outlineLevel="1">
      <c r="E2683" s="20"/>
      <c r="F2683" s="120"/>
      <c r="G2683" s="136"/>
      <c r="H2683" s="118" t="s">
        <v>2847</v>
      </c>
      <c r="I2683" s="137"/>
      <c r="J2683" s="146"/>
      <c r="K2683" s="138"/>
      <c r="L2683" s="134"/>
      <c r="M2683" s="140"/>
      <c r="N2683" s="134">
        <v>244.27</v>
      </c>
      <c r="O2683" s="139">
        <f>ROUND(PRODUCT(J2683:N2683),2)</f>
        <v>244.27</v>
      </c>
      <c r="P2683" s="185"/>
      <c r="Q2683" s="185"/>
    </row>
    <row r="2684" spans="1:17" hidden="1" outlineLevel="1">
      <c r="E2684" s="20"/>
      <c r="F2684" s="120"/>
      <c r="G2684" s="136"/>
      <c r="H2684" s="118" t="s">
        <v>2852</v>
      </c>
      <c r="I2684" s="137"/>
      <c r="J2684" s="146"/>
      <c r="K2684" s="138"/>
      <c r="L2684" s="134"/>
      <c r="M2684" s="140"/>
      <c r="N2684" s="134">
        <v>308.08999999999997</v>
      </c>
      <c r="O2684" s="139">
        <f>ROUND(PRODUCT(J2684:N2684),2)</f>
        <v>308.08999999999997</v>
      </c>
      <c r="P2684" s="185"/>
      <c r="Q2684" s="185"/>
    </row>
    <row r="2685" spans="1:17" ht="30" hidden="1" outlineLevel="1">
      <c r="A2685" s="2">
        <v>7</v>
      </c>
      <c r="B2685" s="2">
        <v>2</v>
      </c>
      <c r="C2685" s="2">
        <f>C2682+1</f>
        <v>2</v>
      </c>
      <c r="E2685" s="20" t="str">
        <f>CONCATENATE(A2685,".",B2685,".",C2685)</f>
        <v>7.2.2</v>
      </c>
      <c r="F2685" s="120" t="s">
        <v>4076</v>
      </c>
      <c r="G2685" s="113" t="s">
        <v>82</v>
      </c>
      <c r="H2685" s="114" t="s">
        <v>83</v>
      </c>
      <c r="I2685" s="115" t="s">
        <v>80</v>
      </c>
      <c r="J2685" s="147"/>
      <c r="K2685" s="132"/>
      <c r="L2685" s="133"/>
      <c r="M2685" s="142"/>
      <c r="N2685" s="134"/>
      <c r="O2685" s="135">
        <f>SUM(O2686:O2686)</f>
        <v>412</v>
      </c>
      <c r="P2685" s="185"/>
      <c r="Q2685" s="185"/>
    </row>
    <row r="2686" spans="1:17" hidden="1" outlineLevel="1">
      <c r="E2686" s="20"/>
      <c r="F2686" s="120"/>
      <c r="G2686" s="136"/>
      <c r="H2686" s="118" t="s">
        <v>2852</v>
      </c>
      <c r="I2686" s="137"/>
      <c r="J2686" s="146"/>
      <c r="K2686" s="138"/>
      <c r="L2686" s="134"/>
      <c r="M2686" s="140"/>
      <c r="N2686" s="134">
        <v>412</v>
      </c>
      <c r="O2686" s="139">
        <f>ROUND(PRODUCT(J2686:N2686),2)</f>
        <v>412</v>
      </c>
      <c r="P2686" s="185"/>
      <c r="Q2686" s="185"/>
    </row>
    <row r="2687" spans="1:17" ht="30" hidden="1" outlineLevel="1">
      <c r="E2687" s="20"/>
      <c r="F2687" s="120" t="s">
        <v>4077</v>
      </c>
      <c r="G2687" s="113">
        <v>92761</v>
      </c>
      <c r="H2687" s="114" t="s">
        <v>86</v>
      </c>
      <c r="I2687" s="115" t="s">
        <v>80</v>
      </c>
      <c r="J2687" s="147"/>
      <c r="K2687" s="132"/>
      <c r="L2687" s="133"/>
      <c r="M2687" s="142"/>
      <c r="N2687" s="134"/>
      <c r="O2687" s="135">
        <f>SUM(O2688)</f>
        <v>673.46</v>
      </c>
      <c r="P2687" s="185"/>
      <c r="Q2687" s="185"/>
    </row>
    <row r="2688" spans="1:17" hidden="1" outlineLevel="1">
      <c r="A2688" s="2">
        <v>7</v>
      </c>
      <c r="B2688" s="2">
        <v>2</v>
      </c>
      <c r="C2688" s="2">
        <f>1+C2685</f>
        <v>3</v>
      </c>
      <c r="E2688" s="20" t="str">
        <f>CONCATENATE(A2688,".",B2688,".",C2688)</f>
        <v>7.2.3</v>
      </c>
      <c r="F2688" s="120"/>
      <c r="G2688" s="136"/>
      <c r="H2688" s="118" t="s">
        <v>2852</v>
      </c>
      <c r="I2688" s="137"/>
      <c r="J2688" s="146"/>
      <c r="K2688" s="138"/>
      <c r="L2688" s="134"/>
      <c r="M2688" s="140"/>
      <c r="N2688" s="134">
        <v>673.46</v>
      </c>
      <c r="O2688" s="139">
        <f>ROUND(PRODUCT(J2688:N2688),2)</f>
        <v>673.46</v>
      </c>
      <c r="P2688" s="185"/>
      <c r="Q2688" s="185"/>
    </row>
    <row r="2689" spans="1:17" ht="30" hidden="1" outlineLevel="1">
      <c r="E2689" s="20"/>
      <c r="F2689" s="120" t="s">
        <v>4078</v>
      </c>
      <c r="G2689" s="113" t="s">
        <v>88</v>
      </c>
      <c r="H2689" s="114" t="s">
        <v>89</v>
      </c>
      <c r="I2689" s="115" t="s">
        <v>80</v>
      </c>
      <c r="J2689" s="147"/>
      <c r="K2689" s="132"/>
      <c r="L2689" s="133"/>
      <c r="M2689" s="142"/>
      <c r="N2689" s="134"/>
      <c r="O2689" s="135">
        <f>SUM(O2690:O2691)</f>
        <v>430.83</v>
      </c>
      <c r="P2689" s="185"/>
      <c r="Q2689" s="185"/>
    </row>
    <row r="2690" spans="1:17" hidden="1" outlineLevel="1">
      <c r="A2690" s="2">
        <v>7</v>
      </c>
      <c r="B2690" s="2">
        <v>2</v>
      </c>
      <c r="C2690" s="2">
        <f>1+C2688</f>
        <v>4</v>
      </c>
      <c r="E2690" s="20" t="str">
        <f>CONCATENATE(A2690,".",B2690,".",C2690)</f>
        <v>7.2.4</v>
      </c>
      <c r="F2690" s="120"/>
      <c r="G2690" s="136"/>
      <c r="H2690" s="118" t="s">
        <v>2847</v>
      </c>
      <c r="I2690" s="137"/>
      <c r="J2690" s="146"/>
      <c r="K2690" s="138"/>
      <c r="L2690" s="134"/>
      <c r="M2690" s="140"/>
      <c r="N2690" s="134">
        <v>249.73</v>
      </c>
      <c r="O2690" s="139">
        <f>ROUND(PRODUCT(J2690:N2690),2)</f>
        <v>249.73</v>
      </c>
      <c r="P2690" s="185"/>
      <c r="Q2690" s="185"/>
    </row>
    <row r="2691" spans="1:17" hidden="1" outlineLevel="1">
      <c r="E2691" s="20"/>
      <c r="F2691" s="120"/>
      <c r="G2691" s="136"/>
      <c r="H2691" s="118" t="s">
        <v>2852</v>
      </c>
      <c r="I2691" s="137"/>
      <c r="J2691" s="146"/>
      <c r="K2691" s="138"/>
      <c r="L2691" s="134"/>
      <c r="M2691" s="140"/>
      <c r="N2691" s="134">
        <v>181.1</v>
      </c>
      <c r="O2691" s="139">
        <f>ROUND(PRODUCT(J2691:N2691),2)</f>
        <v>181.1</v>
      </c>
      <c r="P2691" s="185"/>
      <c r="Q2691" s="185"/>
    </row>
    <row r="2692" spans="1:17" ht="30" hidden="1" outlineLevel="1">
      <c r="E2692" s="20"/>
      <c r="F2692" s="120" t="s">
        <v>4079</v>
      </c>
      <c r="G2692" s="113" t="s">
        <v>91</v>
      </c>
      <c r="H2692" s="114" t="s">
        <v>92</v>
      </c>
      <c r="I2692" s="115" t="s">
        <v>80</v>
      </c>
      <c r="J2692" s="147"/>
      <c r="K2692" s="132"/>
      <c r="L2692" s="133"/>
      <c r="M2692" s="142"/>
      <c r="N2692" s="134"/>
      <c r="O2692" s="135">
        <f>SUM(O2693:O2694)</f>
        <v>668.55</v>
      </c>
      <c r="P2692" s="185"/>
      <c r="Q2692" s="185"/>
    </row>
    <row r="2693" spans="1:17" hidden="1" outlineLevel="1">
      <c r="A2693" s="2">
        <v>7</v>
      </c>
      <c r="B2693" s="2">
        <v>2</v>
      </c>
      <c r="C2693" s="2">
        <f>1+C2690</f>
        <v>5</v>
      </c>
      <c r="E2693" s="20" t="str">
        <f>CONCATENATE(A2693,".",B2693,".",C2693)</f>
        <v>7.2.5</v>
      </c>
      <c r="F2693" s="120"/>
      <c r="G2693" s="136"/>
      <c r="H2693" s="118" t="s">
        <v>2847</v>
      </c>
      <c r="I2693" s="137"/>
      <c r="J2693" s="146"/>
      <c r="K2693" s="138"/>
      <c r="L2693" s="134"/>
      <c r="M2693" s="140"/>
      <c r="N2693" s="134">
        <v>175.64</v>
      </c>
      <c r="O2693" s="139">
        <f>ROUND(PRODUCT(J2693:N2693),2)</f>
        <v>175.64</v>
      </c>
      <c r="P2693" s="185"/>
      <c r="Q2693" s="185"/>
    </row>
    <row r="2694" spans="1:17" hidden="1" outlineLevel="1">
      <c r="E2694" s="20"/>
      <c r="F2694" s="120"/>
      <c r="G2694" s="136"/>
      <c r="H2694" s="118" t="s">
        <v>2852</v>
      </c>
      <c r="I2694" s="137"/>
      <c r="J2694" s="146"/>
      <c r="K2694" s="138"/>
      <c r="L2694" s="134"/>
      <c r="M2694" s="140"/>
      <c r="N2694" s="134">
        <v>492.91</v>
      </c>
      <c r="O2694" s="139">
        <f>ROUND(PRODUCT(J2694:N2694),2)</f>
        <v>492.91</v>
      </c>
      <c r="P2694" s="185"/>
      <c r="Q2694" s="185"/>
    </row>
    <row r="2695" spans="1:17" ht="30" hidden="1" outlineLevel="1">
      <c r="E2695" s="20"/>
      <c r="F2695" s="120" t="s">
        <v>4080</v>
      </c>
      <c r="G2695" s="113">
        <v>92764</v>
      </c>
      <c r="H2695" s="114" t="s">
        <v>95</v>
      </c>
      <c r="I2695" s="115" t="s">
        <v>80</v>
      </c>
      <c r="J2695" s="147"/>
      <c r="K2695" s="132"/>
      <c r="L2695" s="133"/>
      <c r="M2695" s="142"/>
      <c r="N2695" s="134"/>
      <c r="O2695" s="135">
        <f>SUM(O2696:O2697)</f>
        <v>329.56</v>
      </c>
      <c r="P2695" s="185"/>
      <c r="Q2695" s="185"/>
    </row>
    <row r="2696" spans="1:17" hidden="1" outlineLevel="1">
      <c r="A2696" s="2">
        <v>7</v>
      </c>
      <c r="B2696" s="2">
        <v>2</v>
      </c>
      <c r="C2696" s="2">
        <f>1+C2693</f>
        <v>6</v>
      </c>
      <c r="E2696" s="20" t="str">
        <f>CONCATENATE(A2696,".",B2696,".",C2696)</f>
        <v>7.2.6</v>
      </c>
      <c r="F2696" s="120"/>
      <c r="G2696" s="136"/>
      <c r="H2696" s="118" t="s">
        <v>2847</v>
      </c>
      <c r="I2696" s="137"/>
      <c r="J2696" s="146"/>
      <c r="K2696" s="138"/>
      <c r="L2696" s="134"/>
      <c r="M2696" s="140"/>
      <c r="N2696" s="134">
        <v>117.1</v>
      </c>
      <c r="O2696" s="139">
        <f>ROUND(PRODUCT(J2696:N2696),2)</f>
        <v>117.1</v>
      </c>
      <c r="P2696" s="185"/>
      <c r="Q2696" s="185"/>
    </row>
    <row r="2697" spans="1:17" hidden="1" outlineLevel="1">
      <c r="E2697" s="20"/>
      <c r="F2697" s="120"/>
      <c r="G2697" s="136"/>
      <c r="H2697" s="118" t="s">
        <v>2852</v>
      </c>
      <c r="I2697" s="137"/>
      <c r="J2697" s="146"/>
      <c r="K2697" s="138"/>
      <c r="L2697" s="134"/>
      <c r="M2697" s="140"/>
      <c r="N2697" s="134">
        <v>212.46</v>
      </c>
      <c r="O2697" s="139">
        <f>ROUND(PRODUCT(J2697:N2697),2)</f>
        <v>212.46</v>
      </c>
      <c r="P2697" s="185"/>
      <c r="Q2697" s="185"/>
    </row>
    <row r="2698" spans="1:17" ht="30" hidden="1" outlineLevel="1">
      <c r="E2698" s="20"/>
      <c r="F2698" s="120" t="s">
        <v>4081</v>
      </c>
      <c r="G2698" s="113" t="s">
        <v>97</v>
      </c>
      <c r="H2698" s="114" t="s">
        <v>98</v>
      </c>
      <c r="I2698" s="115" t="s">
        <v>80</v>
      </c>
      <c r="J2698" s="147"/>
      <c r="K2698" s="132"/>
      <c r="L2698" s="133"/>
      <c r="M2698" s="142"/>
      <c r="N2698" s="134"/>
      <c r="O2698" s="135">
        <f>SUM(O2699:O2700)</f>
        <v>2400.94</v>
      </c>
      <c r="P2698" s="185"/>
      <c r="Q2698" s="185"/>
    </row>
    <row r="2699" spans="1:17" hidden="1" outlineLevel="1">
      <c r="A2699" s="2">
        <v>7</v>
      </c>
      <c r="B2699" s="2">
        <v>2</v>
      </c>
      <c r="C2699" s="2">
        <f>1+C2696</f>
        <v>7</v>
      </c>
      <c r="E2699" s="20" t="str">
        <f>CONCATENATE(A2699,".",B2699,".",C2699)</f>
        <v>7.2.7</v>
      </c>
      <c r="F2699" s="120"/>
      <c r="G2699" s="136"/>
      <c r="H2699" s="118" t="s">
        <v>2847</v>
      </c>
      <c r="I2699" s="137"/>
      <c r="J2699" s="146"/>
      <c r="K2699" s="138"/>
      <c r="L2699" s="134"/>
      <c r="M2699" s="140"/>
      <c r="N2699" s="134">
        <v>1027.47</v>
      </c>
      <c r="O2699" s="139">
        <f>ROUND(PRODUCT(J2699:N2699),2)</f>
        <v>1027.47</v>
      </c>
      <c r="P2699" s="185"/>
      <c r="Q2699" s="185"/>
    </row>
    <row r="2700" spans="1:17" hidden="1" outlineLevel="1">
      <c r="E2700" s="20"/>
      <c r="F2700" s="120"/>
      <c r="G2700" s="136"/>
      <c r="H2700" s="118" t="s">
        <v>2852</v>
      </c>
      <c r="I2700" s="137"/>
      <c r="J2700" s="146"/>
      <c r="K2700" s="138"/>
      <c r="L2700" s="134"/>
      <c r="M2700" s="140"/>
      <c r="N2700" s="134">
        <v>1373.47</v>
      </c>
      <c r="O2700" s="139">
        <f>ROUND(PRODUCT(J2700:N2700),2)</f>
        <v>1373.47</v>
      </c>
      <c r="P2700" s="185"/>
      <c r="Q2700" s="185"/>
    </row>
    <row r="2701" spans="1:17" ht="45" hidden="1" outlineLevel="1">
      <c r="A2701" s="2">
        <v>7</v>
      </c>
      <c r="B2701" s="2">
        <v>2</v>
      </c>
      <c r="C2701" s="2">
        <f>1+C2699</f>
        <v>8</v>
      </c>
      <c r="E2701" s="20" t="str">
        <f>CONCATENATE(A2701,".",B2701,".",C2701)</f>
        <v>7.2.8</v>
      </c>
      <c r="F2701" s="120" t="s">
        <v>4082</v>
      </c>
      <c r="G2701" s="113">
        <v>92443</v>
      </c>
      <c r="H2701" s="114" t="s">
        <v>101</v>
      </c>
      <c r="I2701" s="115" t="s">
        <v>276</v>
      </c>
      <c r="J2701" s="147"/>
      <c r="K2701" s="132"/>
      <c r="L2701" s="133"/>
      <c r="M2701" s="142"/>
      <c r="N2701" s="134"/>
      <c r="O2701" s="135">
        <f>SUM(O2702)</f>
        <v>193.3</v>
      </c>
      <c r="P2701" s="185"/>
      <c r="Q2701" s="185"/>
    </row>
    <row r="2702" spans="1:17" hidden="1" outlineLevel="1">
      <c r="E2702" s="20"/>
      <c r="F2702" s="120"/>
      <c r="G2702" s="136"/>
      <c r="H2702" s="118" t="s">
        <v>2847</v>
      </c>
      <c r="I2702" s="137"/>
      <c r="J2702" s="146"/>
      <c r="K2702" s="138"/>
      <c r="L2702" s="134"/>
      <c r="M2702" s="140"/>
      <c r="N2702" s="134">
        <v>193.3</v>
      </c>
      <c r="O2702" s="139">
        <f>ROUND(PRODUCT(J2702:N2702),2)</f>
        <v>193.3</v>
      </c>
      <c r="P2702" s="185"/>
      <c r="Q2702" s="185"/>
    </row>
    <row r="2703" spans="1:17" ht="45" hidden="1" outlineLevel="1">
      <c r="A2703" s="2">
        <v>7</v>
      </c>
      <c r="B2703" s="2">
        <v>2</v>
      </c>
      <c r="C2703" s="2">
        <f>1+C2701</f>
        <v>9</v>
      </c>
      <c r="E2703" s="20" t="str">
        <f>CONCATENATE(A2703,".",B2703,".",C2703)</f>
        <v>7.2.9</v>
      </c>
      <c r="F2703" s="120" t="s">
        <v>4083</v>
      </c>
      <c r="G2703" s="113">
        <v>92479</v>
      </c>
      <c r="H2703" s="114" t="s">
        <v>104</v>
      </c>
      <c r="I2703" s="115" t="s">
        <v>276</v>
      </c>
      <c r="J2703" s="147"/>
      <c r="K2703" s="132"/>
      <c r="L2703" s="133"/>
      <c r="M2703" s="142"/>
      <c r="N2703" s="134"/>
      <c r="O2703" s="135">
        <f>SUM(O2704)</f>
        <v>344.2</v>
      </c>
      <c r="P2703" s="185"/>
      <c r="Q2703" s="185"/>
    </row>
    <row r="2704" spans="1:17" hidden="1" outlineLevel="1">
      <c r="E2704" s="20"/>
      <c r="F2704" s="120"/>
      <c r="G2704" s="136"/>
      <c r="H2704" s="118"/>
      <c r="I2704" s="137"/>
      <c r="J2704" s="146"/>
      <c r="K2704" s="138"/>
      <c r="L2704" s="134"/>
      <c r="M2704" s="138"/>
      <c r="N2704" s="134">
        <v>344.2</v>
      </c>
      <c r="O2704" s="139">
        <f>ROUND(PRODUCT(J2704:N2704),2)</f>
        <v>344.2</v>
      </c>
      <c r="P2704" s="185"/>
      <c r="Q2704" s="185"/>
    </row>
    <row r="2705" spans="1:17" ht="30" hidden="1" outlineLevel="1">
      <c r="A2705" s="2">
        <v>7</v>
      </c>
      <c r="B2705" s="2">
        <v>2</v>
      </c>
      <c r="C2705" s="2">
        <f>1+C2703</f>
        <v>10</v>
      </c>
      <c r="E2705" s="20" t="str">
        <f>CONCATENATE(A2705,".",B2705,".",C2705)</f>
        <v>7.2.10</v>
      </c>
      <c r="F2705" s="120" t="s">
        <v>4084</v>
      </c>
      <c r="G2705" s="113" t="s">
        <v>106</v>
      </c>
      <c r="H2705" s="114" t="s">
        <v>107</v>
      </c>
      <c r="I2705" s="115" t="s">
        <v>80</v>
      </c>
      <c r="J2705" s="131"/>
      <c r="K2705" s="132"/>
      <c r="L2705" s="133"/>
      <c r="M2705" s="132"/>
      <c r="N2705" s="134"/>
      <c r="O2705" s="135">
        <f>SUM(O2706:O2706)</f>
        <v>295.64</v>
      </c>
      <c r="P2705" s="185"/>
      <c r="Q2705" s="185"/>
    </row>
    <row r="2706" spans="1:17" hidden="1" outlineLevel="1">
      <c r="E2706" s="20"/>
      <c r="F2706" s="120"/>
      <c r="G2706" s="136"/>
      <c r="H2706" s="118"/>
      <c r="I2706" s="137"/>
      <c r="J2706" s="146"/>
      <c r="K2706" s="138"/>
      <c r="L2706" s="134"/>
      <c r="M2706" s="138"/>
      <c r="N2706" s="134">
        <v>295.64</v>
      </c>
      <c r="O2706" s="139">
        <f>ROUND(PRODUCT(J2706:N2706),2)</f>
        <v>295.64</v>
      </c>
      <c r="P2706" s="185"/>
      <c r="Q2706" s="185"/>
    </row>
    <row r="2707" spans="1:17" ht="30" hidden="1" outlineLevel="1">
      <c r="A2707" s="2">
        <v>7</v>
      </c>
      <c r="B2707" s="2">
        <v>2</v>
      </c>
      <c r="C2707" s="2">
        <f>1+C2705</f>
        <v>11</v>
      </c>
      <c r="E2707" s="20" t="str">
        <f>CONCATENATE(A2707,".",B2707,".",C2707)</f>
        <v>7.2.11</v>
      </c>
      <c r="F2707" s="120" t="s">
        <v>4085</v>
      </c>
      <c r="G2707" s="113" t="s">
        <v>109</v>
      </c>
      <c r="H2707" s="114" t="s">
        <v>110</v>
      </c>
      <c r="I2707" s="115" t="s">
        <v>80</v>
      </c>
      <c r="J2707" s="131"/>
      <c r="K2707" s="132"/>
      <c r="L2707" s="133"/>
      <c r="M2707" s="132"/>
      <c r="N2707" s="134"/>
      <c r="O2707" s="135">
        <f>SUM(O2708:O2708)</f>
        <v>669.28</v>
      </c>
      <c r="P2707" s="185"/>
      <c r="Q2707" s="185"/>
    </row>
    <row r="2708" spans="1:17" hidden="1" outlineLevel="1">
      <c r="E2708" s="20"/>
      <c r="F2708" s="120"/>
      <c r="G2708" s="136"/>
      <c r="H2708" s="118"/>
      <c r="I2708" s="137"/>
      <c r="J2708" s="146"/>
      <c r="K2708" s="138"/>
      <c r="L2708" s="134"/>
      <c r="M2708" s="138"/>
      <c r="N2708" s="134">
        <v>669.28</v>
      </c>
      <c r="O2708" s="139">
        <f>ROUND(PRODUCT(J2708:N2708),2)</f>
        <v>669.28</v>
      </c>
      <c r="P2708" s="185"/>
      <c r="Q2708" s="185"/>
    </row>
    <row r="2709" spans="1:17" ht="30" hidden="1" outlineLevel="1">
      <c r="A2709" s="2">
        <v>7</v>
      </c>
      <c r="B2709" s="2">
        <v>2</v>
      </c>
      <c r="C2709" s="2">
        <f>1+C2707</f>
        <v>12</v>
      </c>
      <c r="E2709" s="20" t="str">
        <f>CONCATENATE(A2709,".",B2709,".",C2709)</f>
        <v>7.2.12</v>
      </c>
      <c r="F2709" s="120" t="s">
        <v>4086</v>
      </c>
      <c r="G2709" s="113" t="s">
        <v>112</v>
      </c>
      <c r="H2709" s="114" t="s">
        <v>113</v>
      </c>
      <c r="I2709" s="115" t="s">
        <v>80</v>
      </c>
      <c r="J2709" s="131"/>
      <c r="K2709" s="132"/>
      <c r="L2709" s="133"/>
      <c r="M2709" s="132"/>
      <c r="N2709" s="134"/>
      <c r="O2709" s="135">
        <f>SUM(O2710)</f>
        <v>3444.27</v>
      </c>
      <c r="P2709" s="185"/>
      <c r="Q2709" s="185"/>
    </row>
    <row r="2710" spans="1:17" hidden="1" outlineLevel="1">
      <c r="E2710" s="20"/>
      <c r="F2710" s="120"/>
      <c r="G2710" s="136"/>
      <c r="H2710" s="118"/>
      <c r="I2710" s="137"/>
      <c r="J2710" s="146"/>
      <c r="K2710" s="138"/>
      <c r="L2710" s="134"/>
      <c r="M2710" s="138"/>
      <c r="N2710" s="134">
        <v>3444.27</v>
      </c>
      <c r="O2710" s="139">
        <f>ROUND(PRODUCT(J2710:N2710),2)</f>
        <v>3444.27</v>
      </c>
      <c r="P2710" s="185"/>
      <c r="Q2710" s="185"/>
    </row>
    <row r="2711" spans="1:17" ht="30" hidden="1" outlineLevel="1">
      <c r="A2711" s="2">
        <v>7</v>
      </c>
      <c r="B2711" s="2">
        <v>2</v>
      </c>
      <c r="C2711" s="2">
        <f>1+C2709</f>
        <v>13</v>
      </c>
      <c r="E2711" s="20" t="str">
        <f>CONCATENATE(A2711,".",B2711,".",C2711)</f>
        <v>7.2.13</v>
      </c>
      <c r="F2711" s="120" t="s">
        <v>4087</v>
      </c>
      <c r="G2711" s="113" t="s">
        <v>115</v>
      </c>
      <c r="H2711" s="114" t="s">
        <v>116</v>
      </c>
      <c r="I2711" s="115" t="s">
        <v>80</v>
      </c>
      <c r="J2711" s="131"/>
      <c r="K2711" s="132"/>
      <c r="L2711" s="133"/>
      <c r="M2711" s="132"/>
      <c r="N2711" s="134"/>
      <c r="O2711" s="135">
        <f>SUM(O2712:O2712)</f>
        <v>128.55000000000001</v>
      </c>
      <c r="P2711" s="185"/>
      <c r="Q2711" s="185"/>
    </row>
    <row r="2712" spans="1:17" hidden="1" outlineLevel="1">
      <c r="E2712" s="20"/>
      <c r="F2712" s="120"/>
      <c r="G2712" s="136"/>
      <c r="H2712" s="118"/>
      <c r="I2712" s="137"/>
      <c r="J2712" s="146"/>
      <c r="K2712" s="138"/>
      <c r="L2712" s="134"/>
      <c r="M2712" s="138"/>
      <c r="N2712" s="134">
        <v>128.55000000000001</v>
      </c>
      <c r="O2712" s="139">
        <f>ROUND(PRODUCT(J2712:N2712),2)</f>
        <v>128.55000000000001</v>
      </c>
      <c r="P2712" s="185"/>
      <c r="Q2712" s="185"/>
    </row>
    <row r="2713" spans="1:17" ht="30" hidden="1" outlineLevel="1">
      <c r="A2713" s="2">
        <v>7</v>
      </c>
      <c r="B2713" s="2">
        <v>2</v>
      </c>
      <c r="C2713" s="2">
        <f>1+C2711</f>
        <v>14</v>
      </c>
      <c r="E2713" s="20" t="str">
        <f>CONCATENATE(A2713,".",B2713,".",C2713)</f>
        <v>7.2.14</v>
      </c>
      <c r="F2713" s="120" t="s">
        <v>4088</v>
      </c>
      <c r="G2713" s="113">
        <v>2368</v>
      </c>
      <c r="H2713" s="114" t="s">
        <v>1442</v>
      </c>
      <c r="I2713" s="115" t="s">
        <v>276</v>
      </c>
      <c r="J2713" s="131"/>
      <c r="K2713" s="132"/>
      <c r="L2713" s="133"/>
      <c r="M2713" s="132"/>
      <c r="N2713" s="134"/>
      <c r="O2713" s="135">
        <f>SUM(O2714:O2714)</f>
        <v>27.36</v>
      </c>
      <c r="P2713" s="185"/>
      <c r="Q2713" s="185"/>
    </row>
    <row r="2714" spans="1:17" hidden="1" outlineLevel="1">
      <c r="E2714" s="20"/>
      <c r="F2714" s="120"/>
      <c r="G2714" s="136"/>
      <c r="H2714" s="118"/>
      <c r="I2714" s="137"/>
      <c r="J2714" s="143"/>
      <c r="K2714" s="138"/>
      <c r="L2714" s="134"/>
      <c r="M2714" s="138"/>
      <c r="N2714" s="134">
        <v>27.36</v>
      </c>
      <c r="O2714" s="139">
        <f>ROUND(PRODUCT(J2714:N2714),2)</f>
        <v>27.36</v>
      </c>
      <c r="P2714" s="185"/>
      <c r="Q2714" s="185"/>
    </row>
    <row r="2715" spans="1:17" ht="30" hidden="1" outlineLevel="1">
      <c r="A2715" s="2">
        <v>7</v>
      </c>
      <c r="B2715" s="2">
        <v>2</v>
      </c>
      <c r="C2715" s="2">
        <f>1+C2713</f>
        <v>15</v>
      </c>
      <c r="E2715" s="20" t="str">
        <f>CONCATENATE(A2715,".",B2715,".",C2715)</f>
        <v>7.2.15</v>
      </c>
      <c r="F2715" s="120" t="s">
        <v>4089</v>
      </c>
      <c r="G2715" s="113">
        <v>92768</v>
      </c>
      <c r="H2715" s="114" t="s">
        <v>119</v>
      </c>
      <c r="I2715" s="115" t="s">
        <v>276</v>
      </c>
      <c r="J2715" s="131"/>
      <c r="K2715" s="132"/>
      <c r="L2715" s="133"/>
      <c r="M2715" s="132"/>
      <c r="N2715" s="134"/>
      <c r="O2715" s="135">
        <f>SUM(O2716:O2716)</f>
        <v>468.27</v>
      </c>
      <c r="P2715" s="185"/>
      <c r="Q2715" s="185"/>
    </row>
    <row r="2716" spans="1:17" hidden="1" outlineLevel="1">
      <c r="E2716" s="20"/>
      <c r="F2716" s="120"/>
      <c r="G2716" s="136"/>
      <c r="H2716" s="118"/>
      <c r="I2716" s="137"/>
      <c r="J2716" s="143"/>
      <c r="K2716" s="138"/>
      <c r="L2716" s="134"/>
      <c r="M2716" s="138"/>
      <c r="N2716" s="134">
        <v>468.27</v>
      </c>
      <c r="O2716" s="139">
        <f>ROUND(PRODUCT(J2716:N2716),2)</f>
        <v>468.27</v>
      </c>
      <c r="P2716" s="185"/>
      <c r="Q2716" s="185"/>
    </row>
    <row r="2717" spans="1:17" ht="30" hidden="1" outlineLevel="1">
      <c r="A2717" s="2">
        <v>7</v>
      </c>
      <c r="B2717" s="2">
        <v>2</v>
      </c>
      <c r="C2717" s="2">
        <f>1+C2715</f>
        <v>16</v>
      </c>
      <c r="E2717" s="20" t="str">
        <f>CONCATENATE(A2717,".",B2717,".",C2717)</f>
        <v>7.2.16</v>
      </c>
      <c r="F2717" s="120" t="s">
        <v>4090</v>
      </c>
      <c r="G2717" s="113">
        <v>92538</v>
      </c>
      <c r="H2717" s="114" t="s">
        <v>122</v>
      </c>
      <c r="I2717" s="115" t="s">
        <v>45</v>
      </c>
      <c r="J2717" s="131"/>
      <c r="K2717" s="132"/>
      <c r="L2717" s="133"/>
      <c r="M2717" s="132"/>
      <c r="N2717" s="134"/>
      <c r="O2717" s="135">
        <f>SUM(O2718)</f>
        <v>579</v>
      </c>
      <c r="P2717" s="185"/>
      <c r="Q2717" s="185"/>
    </row>
    <row r="2718" spans="1:17" hidden="1" outlineLevel="1">
      <c r="E2718" s="20"/>
      <c r="F2718" s="120"/>
      <c r="G2718" s="136"/>
      <c r="H2718" s="118" t="s">
        <v>2867</v>
      </c>
      <c r="I2718" s="137"/>
      <c r="J2718" s="143"/>
      <c r="K2718" s="138"/>
      <c r="L2718" s="134"/>
      <c r="M2718" s="138"/>
      <c r="N2718" s="138">
        <v>579</v>
      </c>
      <c r="O2718" s="139">
        <f>ROUND(PRODUCT(J2718:N2718),2)</f>
        <v>579</v>
      </c>
      <c r="P2718" s="185"/>
      <c r="Q2718" s="185"/>
    </row>
    <row r="2719" spans="1:17" ht="30" hidden="1" outlineLevel="1">
      <c r="E2719" s="20"/>
      <c r="F2719" s="120" t="s">
        <v>4091</v>
      </c>
      <c r="G2719" s="113">
        <v>92773</v>
      </c>
      <c r="H2719" s="114" t="s">
        <v>1280</v>
      </c>
      <c r="I2719" s="115" t="s">
        <v>45</v>
      </c>
      <c r="J2719" s="131"/>
      <c r="K2719" s="132"/>
      <c r="L2719" s="133"/>
      <c r="M2719" s="132"/>
      <c r="N2719" s="134"/>
      <c r="O2719" s="135">
        <f>SUM(O2720)</f>
        <v>200.01</v>
      </c>
      <c r="P2719" s="185"/>
      <c r="Q2719" s="185"/>
    </row>
    <row r="2720" spans="1:17" hidden="1" outlineLevel="1">
      <c r="A2720" s="2">
        <v>7</v>
      </c>
      <c r="B2720" s="2">
        <v>2</v>
      </c>
      <c r="C2720" s="2">
        <f>1+C2717</f>
        <v>17</v>
      </c>
      <c r="E2720" s="20" t="str">
        <f>CONCATENATE(A2720,".",B2720,".",C2720)</f>
        <v>7.2.17</v>
      </c>
      <c r="F2720" s="120"/>
      <c r="G2720" s="136"/>
      <c r="H2720" s="118"/>
      <c r="I2720" s="137"/>
      <c r="J2720" s="143"/>
      <c r="K2720" s="138"/>
      <c r="L2720" s="134"/>
      <c r="M2720" s="138"/>
      <c r="N2720" s="138">
        <v>200.01</v>
      </c>
      <c r="O2720" s="139">
        <f>ROUND(PRODUCT(J2720:N2720),2)</f>
        <v>200.01</v>
      </c>
      <c r="P2720" s="185"/>
      <c r="Q2720" s="185"/>
    </row>
    <row r="2721" spans="1:17" ht="45" hidden="1" outlineLevel="1">
      <c r="E2721" s="20"/>
      <c r="F2721" s="120" t="s">
        <v>4092</v>
      </c>
      <c r="G2721" s="113">
        <v>604</v>
      </c>
      <c r="H2721" s="114" t="s">
        <v>2846</v>
      </c>
      <c r="I2721" s="115" t="s">
        <v>2815</v>
      </c>
      <c r="J2721" s="131"/>
      <c r="K2721" s="132"/>
      <c r="L2721" s="133"/>
      <c r="M2721" s="132"/>
      <c r="N2721" s="134"/>
      <c r="O2721" s="135">
        <f>SUM(O2722:O2724)</f>
        <v>153.4</v>
      </c>
      <c r="P2721" s="185"/>
      <c r="Q2721" s="185"/>
    </row>
    <row r="2722" spans="1:17" hidden="1" outlineLevel="1">
      <c r="E2722" s="20"/>
      <c r="F2722" s="21"/>
      <c r="G2722" s="34"/>
      <c r="H2722" s="30" t="s">
        <v>2869</v>
      </c>
      <c r="I2722" s="35"/>
      <c r="J2722" s="40"/>
      <c r="K2722" s="33"/>
      <c r="L2722" s="41"/>
      <c r="M2722" s="33"/>
      <c r="N2722" s="33">
        <v>13.9</v>
      </c>
      <c r="O2722" s="31">
        <f>ROUND(PRODUCT(J2722:N2722),2)</f>
        <v>13.9</v>
      </c>
      <c r="P2722" s="185"/>
      <c r="Q2722" s="185"/>
    </row>
    <row r="2723" spans="1:17" hidden="1" outlineLevel="1">
      <c r="E2723" s="20"/>
      <c r="F2723" s="21"/>
      <c r="G2723" s="34"/>
      <c r="H2723" s="30" t="s">
        <v>2870</v>
      </c>
      <c r="I2723" s="35"/>
      <c r="J2723" s="40"/>
      <c r="K2723" s="33"/>
      <c r="L2723" s="41"/>
      <c r="M2723" s="33"/>
      <c r="N2723" s="33">
        <v>34.5</v>
      </c>
      <c r="O2723" s="31">
        <f>ROUND(PRODUCT(J2723:N2723),2)</f>
        <v>34.5</v>
      </c>
      <c r="P2723" s="185"/>
      <c r="Q2723" s="185"/>
    </row>
    <row r="2724" spans="1:17" hidden="1" outlineLevel="1">
      <c r="E2724" s="20"/>
      <c r="F2724" s="21"/>
      <c r="G2724" s="34"/>
      <c r="H2724" s="30" t="s">
        <v>2867</v>
      </c>
      <c r="I2724" s="35"/>
      <c r="J2724" s="40"/>
      <c r="K2724" s="33"/>
      <c r="L2724" s="41"/>
      <c r="M2724" s="33"/>
      <c r="N2724" s="33">
        <v>105</v>
      </c>
      <c r="O2724" s="31">
        <f>ROUND(PRODUCT(J2724:N2724),2)</f>
        <v>105</v>
      </c>
      <c r="P2724" s="185"/>
      <c r="Q2724" s="185"/>
    </row>
    <row r="2725" spans="1:17" collapsed="1">
      <c r="A2725" s="2">
        <v>7</v>
      </c>
      <c r="B2725" s="2">
        <v>3</v>
      </c>
      <c r="E2725" s="42" t="str">
        <f>CONCATENATE(A2725,".",B2725)</f>
        <v>7.3</v>
      </c>
      <c r="F2725" s="45" t="s">
        <v>4093</v>
      </c>
      <c r="G2725" s="13"/>
      <c r="H2725" s="14" t="s">
        <v>134</v>
      </c>
      <c r="I2725" s="15"/>
      <c r="J2725" s="16"/>
      <c r="K2725" s="17"/>
      <c r="L2725" s="16"/>
      <c r="M2725" s="17"/>
      <c r="N2725" s="18"/>
      <c r="O2725" s="19"/>
      <c r="P2725" s="185"/>
      <c r="Q2725" s="185"/>
    </row>
    <row r="2726" spans="1:17" ht="45" hidden="1" outlineLevel="1">
      <c r="A2726" s="2">
        <v>7</v>
      </c>
      <c r="B2726" s="2">
        <v>3</v>
      </c>
      <c r="C2726" s="2">
        <v>1</v>
      </c>
      <c r="E2726" s="20" t="str">
        <f>CONCATENATE(A2726,".",B2726,".",C2726)</f>
        <v>7.3.1</v>
      </c>
      <c r="F2726" s="21" t="s">
        <v>4094</v>
      </c>
      <c r="G2726" s="22" t="s">
        <v>976</v>
      </c>
      <c r="H2726" s="23" t="s">
        <v>977</v>
      </c>
      <c r="I2726" s="24" t="s">
        <v>45</v>
      </c>
      <c r="J2726" s="25"/>
      <c r="K2726" s="10"/>
      <c r="L2726" s="32"/>
      <c r="M2726" s="10"/>
      <c r="N2726" s="33"/>
      <c r="O2726" s="27">
        <f>SUM(O2727:O2741)</f>
        <v>602.1</v>
      </c>
      <c r="P2726" s="185"/>
      <c r="Q2726" s="185">
        <v>4315.29</v>
      </c>
    </row>
    <row r="2727" spans="1:17" ht="14.25" hidden="1" outlineLevel="2">
      <c r="E2727" s="59"/>
      <c r="F2727" s="60"/>
      <c r="G2727" s="34"/>
      <c r="H2727" s="30" t="s">
        <v>3012</v>
      </c>
      <c r="I2727" s="35"/>
      <c r="J2727" s="41"/>
      <c r="K2727" s="33">
        <f>2.18+2.18+3+3</f>
        <v>10.36</v>
      </c>
      <c r="L2727" s="41"/>
      <c r="M2727" s="33">
        <f>0.2+3.2</f>
        <v>3.4000000000000004</v>
      </c>
      <c r="N2727" s="33"/>
      <c r="O2727" s="31">
        <f t="shared" ref="O2727:O2740" si="69">ROUND(PRODUCT(J2727:N2727),2)</f>
        <v>35.22</v>
      </c>
    </row>
    <row r="2728" spans="1:17" ht="14.25" hidden="1" outlineLevel="2">
      <c r="E2728" s="59"/>
      <c r="F2728" s="60"/>
      <c r="G2728" s="34"/>
      <c r="H2728" s="30" t="str">
        <f>_xlfn.CONCAT(H2727," - VÃO")</f>
        <v>WC FEM - VÃO</v>
      </c>
      <c r="I2728" s="35"/>
      <c r="J2728" s="41">
        <v>-1</v>
      </c>
      <c r="K2728" s="33"/>
      <c r="L2728" s="41"/>
      <c r="M2728" s="33"/>
      <c r="N2728" s="33">
        <v>14.38</v>
      </c>
      <c r="O2728" s="31">
        <f t="shared" si="69"/>
        <v>-14.38</v>
      </c>
    </row>
    <row r="2729" spans="1:17" ht="14.25" hidden="1" outlineLevel="2">
      <c r="E2729" s="59"/>
      <c r="F2729" s="60"/>
      <c r="G2729" s="34"/>
      <c r="H2729" s="30" t="s">
        <v>3013</v>
      </c>
      <c r="I2729" s="35"/>
      <c r="J2729" s="41"/>
      <c r="K2729" s="33">
        <f>2.08+2.08+23.47</f>
        <v>27.63</v>
      </c>
      <c r="L2729" s="41"/>
      <c r="M2729" s="33">
        <f>0.2+3.2</f>
        <v>3.4000000000000004</v>
      </c>
      <c r="N2729" s="33"/>
      <c r="O2729" s="31">
        <f t="shared" si="69"/>
        <v>93.94</v>
      </c>
    </row>
    <row r="2730" spans="1:17" ht="14.25" hidden="1" outlineLevel="2">
      <c r="E2730" s="59"/>
      <c r="F2730" s="60"/>
      <c r="G2730" s="34"/>
      <c r="H2730" s="30" t="str">
        <f>_xlfn.CONCAT(H2729," - VÃO")</f>
        <v>WC PCD - VÃO</v>
      </c>
      <c r="I2730" s="35"/>
      <c r="J2730" s="41">
        <v>-1</v>
      </c>
      <c r="K2730" s="33"/>
      <c r="L2730" s="41"/>
      <c r="M2730" s="33"/>
      <c r="N2730" s="33">
        <v>6.19</v>
      </c>
      <c r="O2730" s="31">
        <f t="shared" si="69"/>
        <v>-6.19</v>
      </c>
    </row>
    <row r="2731" spans="1:17" ht="14.25" hidden="1" outlineLevel="2">
      <c r="E2731" s="59"/>
      <c r="F2731" s="60"/>
      <c r="G2731" s="34"/>
      <c r="H2731" s="30" t="s">
        <v>3041</v>
      </c>
      <c r="I2731" s="35"/>
      <c r="J2731" s="41"/>
      <c r="K2731" s="33">
        <f>3.2+3.2+3.13</f>
        <v>9.5300000000000011</v>
      </c>
      <c r="L2731" s="41"/>
      <c r="M2731" s="33">
        <f>0.2+3.2</f>
        <v>3.4000000000000004</v>
      </c>
      <c r="N2731" s="33"/>
      <c r="O2731" s="31">
        <f t="shared" si="69"/>
        <v>32.4</v>
      </c>
    </row>
    <row r="2732" spans="1:17" ht="14.25" hidden="1" outlineLevel="2">
      <c r="E2732" s="59"/>
      <c r="F2732" s="60"/>
      <c r="G2732" s="34"/>
      <c r="H2732" s="30" t="str">
        <f>_xlfn.CONCAT(H2731," - VÃO")</f>
        <v>WC MASC - VÃO</v>
      </c>
      <c r="I2732" s="35"/>
      <c r="J2732" s="41">
        <v>-1</v>
      </c>
      <c r="K2732" s="33"/>
      <c r="L2732" s="41"/>
      <c r="M2732" s="33"/>
      <c r="N2732" s="33">
        <v>3.39</v>
      </c>
      <c r="O2732" s="31">
        <f t="shared" si="69"/>
        <v>-3.39</v>
      </c>
    </row>
    <row r="2733" spans="1:17" ht="14.25" hidden="1" outlineLevel="2">
      <c r="E2733" s="59"/>
      <c r="F2733" s="60"/>
      <c r="G2733" s="34"/>
      <c r="H2733" s="30" t="s">
        <v>4095</v>
      </c>
      <c r="I2733" s="35"/>
      <c r="J2733" s="41"/>
      <c r="K2733" s="33">
        <v>17.16</v>
      </c>
      <c r="L2733" s="41"/>
      <c r="M2733" s="33">
        <f>0.2+3.2</f>
        <v>3.4000000000000004</v>
      </c>
      <c r="N2733" s="33"/>
      <c r="O2733" s="31">
        <f t="shared" si="69"/>
        <v>58.34</v>
      </c>
    </row>
    <row r="2734" spans="1:17" ht="14.25" hidden="1" outlineLevel="2">
      <c r="E2734" s="59"/>
      <c r="F2734" s="60"/>
      <c r="G2734" s="34"/>
      <c r="H2734" s="30" t="str">
        <f>_xlfn.CONCAT(H2733," - VÃO")</f>
        <v>CIRC LAB ESP - VÃO</v>
      </c>
      <c r="I2734" s="35"/>
      <c r="J2734" s="41">
        <v>-1</v>
      </c>
      <c r="K2734" s="33"/>
      <c r="L2734" s="41"/>
      <c r="M2734" s="33"/>
      <c r="N2734" s="33">
        <v>7.89</v>
      </c>
      <c r="O2734" s="31">
        <f t="shared" si="69"/>
        <v>-7.89</v>
      </c>
    </row>
    <row r="2735" spans="1:17" ht="14.25" hidden="1" outlineLevel="2">
      <c r="E2735" s="59"/>
      <c r="F2735" s="60"/>
      <c r="G2735" s="34"/>
      <c r="H2735" s="30" t="s">
        <v>4096</v>
      </c>
      <c r="I2735" s="35"/>
      <c r="J2735" s="41"/>
      <c r="K2735" s="33">
        <f>20.2+20.2+10.49</f>
        <v>50.89</v>
      </c>
      <c r="L2735" s="41"/>
      <c r="M2735" s="33">
        <f>0.2+3.2</f>
        <v>3.4000000000000004</v>
      </c>
      <c r="N2735" s="33"/>
      <c r="O2735" s="31">
        <f t="shared" si="69"/>
        <v>173.03</v>
      </c>
    </row>
    <row r="2736" spans="1:17" ht="14.25" hidden="1" outlineLevel="2">
      <c r="E2736" s="59"/>
      <c r="F2736" s="60"/>
      <c r="G2736" s="34"/>
      <c r="H2736" s="30" t="str">
        <f>_xlfn.CONCAT(H2735," - VÃO")</f>
        <v>LAB ESPECIAIS 1 - VÃO</v>
      </c>
      <c r="I2736" s="35"/>
      <c r="J2736" s="41">
        <v>-1</v>
      </c>
      <c r="K2736" s="33"/>
      <c r="L2736" s="41"/>
      <c r="M2736" s="33"/>
      <c r="N2736" s="33">
        <v>7.89</v>
      </c>
      <c r="O2736" s="31">
        <f t="shared" si="69"/>
        <v>-7.89</v>
      </c>
    </row>
    <row r="2737" spans="1:17" ht="14.25" hidden="1" outlineLevel="2">
      <c r="E2737" s="59"/>
      <c r="F2737" s="60"/>
      <c r="G2737" s="34"/>
      <c r="H2737" s="30" t="s">
        <v>4097</v>
      </c>
      <c r="I2737" s="35"/>
      <c r="J2737" s="41"/>
      <c r="K2737" s="33">
        <v>2.2000000000000002</v>
      </c>
      <c r="L2737" s="41"/>
      <c r="M2737" s="33">
        <f>0.2+3.2</f>
        <v>3.4000000000000004</v>
      </c>
      <c r="N2737" s="33"/>
      <c r="O2737" s="31">
        <f t="shared" si="69"/>
        <v>7.48</v>
      </c>
    </row>
    <row r="2738" spans="1:17" ht="14.25" hidden="1" outlineLevel="2">
      <c r="E2738" s="59"/>
      <c r="F2738" s="60"/>
      <c r="G2738" s="34"/>
      <c r="H2738" s="30" t="str">
        <f>_xlfn.CONCAT(H2737," - VÃO")</f>
        <v>CIRC LAB - VÃO</v>
      </c>
      <c r="I2738" s="35"/>
      <c r="J2738" s="41">
        <v>-1</v>
      </c>
      <c r="K2738" s="33"/>
      <c r="L2738" s="41"/>
      <c r="M2738" s="33"/>
      <c r="N2738" s="33">
        <v>7.89</v>
      </c>
      <c r="O2738" s="31">
        <f t="shared" si="69"/>
        <v>-7.89</v>
      </c>
    </row>
    <row r="2739" spans="1:17" ht="14.25" hidden="1" outlineLevel="2">
      <c r="E2739" s="59"/>
      <c r="F2739" s="60"/>
      <c r="G2739" s="34"/>
      <c r="H2739" s="30" t="s">
        <v>4098</v>
      </c>
      <c r="I2739" s="35"/>
      <c r="J2739" s="41"/>
      <c r="K2739" s="33">
        <f>20.2+20.2+10.48</f>
        <v>50.879999999999995</v>
      </c>
      <c r="L2739" s="41"/>
      <c r="M2739" s="33">
        <f>0.2+3.2</f>
        <v>3.4000000000000004</v>
      </c>
      <c r="N2739" s="33"/>
      <c r="O2739" s="31">
        <f t="shared" si="69"/>
        <v>172.99</v>
      </c>
    </row>
    <row r="2740" spans="1:17" ht="14.25" hidden="1" outlineLevel="2">
      <c r="E2740" s="59"/>
      <c r="F2740" s="60"/>
      <c r="G2740" s="34"/>
      <c r="H2740" s="30" t="str">
        <f>_xlfn.CONCAT(H2739," - VÃO")</f>
        <v>LAB ESPECIAIS 2 - VÃO</v>
      </c>
      <c r="I2740" s="35"/>
      <c r="J2740" s="41">
        <v>-1</v>
      </c>
      <c r="K2740" s="33"/>
      <c r="L2740" s="41"/>
      <c r="M2740" s="33"/>
      <c r="N2740" s="33">
        <v>6.58</v>
      </c>
      <c r="O2740" s="31">
        <f t="shared" si="69"/>
        <v>-6.58</v>
      </c>
    </row>
    <row r="2741" spans="1:17" ht="14.25" hidden="1" outlineLevel="2">
      <c r="E2741" s="59"/>
      <c r="F2741" s="60"/>
      <c r="G2741" s="34"/>
      <c r="H2741" s="30" t="s">
        <v>2927</v>
      </c>
      <c r="I2741" s="35"/>
      <c r="J2741" s="41"/>
      <c r="K2741" s="33">
        <f>24.49+24.28</f>
        <v>48.769999999999996</v>
      </c>
      <c r="L2741" s="41"/>
      <c r="M2741" s="33">
        <v>1.7</v>
      </c>
      <c r="N2741" s="33"/>
      <c r="O2741" s="31">
        <f>ROUND(PRODUCT(J2741:N2741),2)</f>
        <v>82.91</v>
      </c>
    </row>
    <row r="2742" spans="1:17" ht="30" hidden="1" outlineLevel="1">
      <c r="A2742" s="2">
        <v>7</v>
      </c>
      <c r="B2742" s="2">
        <v>3</v>
      </c>
      <c r="C2742" s="2" t="e">
        <f>1+#REF!</f>
        <v>#REF!</v>
      </c>
      <c r="E2742" s="20" t="e">
        <f>CONCATENATE(A2742,".",B2742,".",C2742)</f>
        <v>#REF!</v>
      </c>
      <c r="F2742" s="21" t="s">
        <v>4099</v>
      </c>
      <c r="G2742" s="22" t="s">
        <v>139</v>
      </c>
      <c r="H2742" s="23" t="s">
        <v>140</v>
      </c>
      <c r="I2742" s="24" t="s">
        <v>45</v>
      </c>
      <c r="J2742" s="25"/>
      <c r="K2742" s="10"/>
      <c r="L2742" s="32"/>
      <c r="M2742" s="10"/>
      <c r="N2742" s="33"/>
      <c r="O2742" s="27">
        <f>SUM(O2743:O2744)</f>
        <v>5.4</v>
      </c>
      <c r="P2742" s="185"/>
      <c r="Q2742" s="185"/>
    </row>
    <row r="2743" spans="1:17" ht="14.25" hidden="1" outlineLevel="2">
      <c r="E2743" s="59"/>
      <c r="F2743" s="60"/>
      <c r="G2743" s="34"/>
      <c r="H2743" s="30" t="s">
        <v>3012</v>
      </c>
      <c r="I2743" s="35"/>
      <c r="J2743" s="41"/>
      <c r="K2743" s="33">
        <v>1.5</v>
      </c>
      <c r="L2743" s="41"/>
      <c r="M2743" s="33">
        <v>1.8</v>
      </c>
      <c r="N2743" s="33">
        <v>1</v>
      </c>
      <c r="O2743" s="31">
        <f>ROUND(PRODUCT(J2743:N2743),2)</f>
        <v>2.7</v>
      </c>
    </row>
    <row r="2744" spans="1:17" ht="14.25" hidden="1" outlineLevel="2">
      <c r="E2744" s="59"/>
      <c r="F2744" s="60"/>
      <c r="G2744" s="34"/>
      <c r="H2744" s="30" t="s">
        <v>3041</v>
      </c>
      <c r="I2744" s="35"/>
      <c r="J2744" s="41"/>
      <c r="K2744" s="33">
        <v>1.5</v>
      </c>
      <c r="L2744" s="41"/>
      <c r="M2744" s="33">
        <v>1.8</v>
      </c>
      <c r="N2744" s="33">
        <v>1</v>
      </c>
      <c r="O2744" s="31">
        <f>ROUND(PRODUCT(J2744:N2744),2)</f>
        <v>2.7</v>
      </c>
    </row>
    <row r="2745" spans="1:17" hidden="1" outlineLevel="1">
      <c r="A2745" s="2">
        <v>7</v>
      </c>
      <c r="B2745" s="2">
        <v>3</v>
      </c>
      <c r="C2745" s="2" t="e">
        <f>1+C2742</f>
        <v>#REF!</v>
      </c>
      <c r="E2745" s="20" t="e">
        <f>CONCATENATE(A2745,".",B2745,".",C2745)</f>
        <v>#REF!</v>
      </c>
      <c r="F2745" s="21" t="s">
        <v>4100</v>
      </c>
      <c r="G2745" s="113">
        <v>105022</v>
      </c>
      <c r="H2745" s="114" t="s">
        <v>143</v>
      </c>
      <c r="I2745" s="24" t="s">
        <v>144</v>
      </c>
      <c r="J2745" s="25"/>
      <c r="K2745" s="10"/>
      <c r="L2745" s="32"/>
      <c r="M2745" s="10"/>
      <c r="N2745" s="33"/>
      <c r="O2745" s="27">
        <f>SUM(O2746:O2746)</f>
        <v>4.2</v>
      </c>
      <c r="P2745" s="185"/>
      <c r="Q2745" s="185"/>
    </row>
    <row r="2746" spans="1:17" ht="14.25" hidden="1" outlineLevel="2">
      <c r="E2746" s="59"/>
      <c r="F2746" s="60"/>
      <c r="G2746" s="34"/>
      <c r="H2746" s="30" t="s">
        <v>3628</v>
      </c>
      <c r="I2746" s="35"/>
      <c r="J2746" s="41"/>
      <c r="K2746" s="33">
        <f>0.9+0.5</f>
        <v>1.4</v>
      </c>
      <c r="L2746" s="41"/>
      <c r="M2746" s="33"/>
      <c r="N2746" s="33">
        <v>3</v>
      </c>
      <c r="O2746" s="31">
        <f>ROUND(PRODUCT(J2746:N2746),2)</f>
        <v>4.2</v>
      </c>
    </row>
    <row r="2747" spans="1:17" ht="14.25" hidden="1" outlineLevel="2">
      <c r="E2747" s="59"/>
      <c r="F2747" s="60"/>
      <c r="G2747" s="34"/>
      <c r="H2747" s="30" t="s">
        <v>3630</v>
      </c>
      <c r="I2747" s="35"/>
      <c r="J2747" s="41"/>
      <c r="K2747" s="33">
        <f>1.28+0.5</f>
        <v>1.78</v>
      </c>
      <c r="L2747" s="41"/>
      <c r="M2747" s="33"/>
      <c r="N2747" s="33">
        <v>3</v>
      </c>
      <c r="O2747" s="31">
        <f>ROUND(PRODUCT(J2747:N2747),2)</f>
        <v>5.34</v>
      </c>
    </row>
    <row r="2748" spans="1:17" ht="30" hidden="1" outlineLevel="1">
      <c r="A2748" s="2">
        <v>7</v>
      </c>
      <c r="B2748" s="2">
        <v>3</v>
      </c>
      <c r="C2748" s="2" t="e">
        <f>1+C2745</f>
        <v>#REF!</v>
      </c>
      <c r="E2748" s="20" t="e">
        <f>CONCATENATE(A2748,".",B2748,".",C2748)</f>
        <v>#REF!</v>
      </c>
      <c r="F2748" s="21" t="s">
        <v>4101</v>
      </c>
      <c r="G2748" s="113">
        <v>105026</v>
      </c>
      <c r="H2748" s="114" t="s">
        <v>147</v>
      </c>
      <c r="I2748" s="115" t="s">
        <v>144</v>
      </c>
      <c r="J2748" s="71"/>
      <c r="K2748" s="10"/>
      <c r="L2748" s="32"/>
      <c r="M2748" s="10"/>
      <c r="N2748" s="10"/>
      <c r="O2748" s="27">
        <f>SUM(O2749:O2750)</f>
        <v>17.3</v>
      </c>
      <c r="P2748" s="185"/>
      <c r="Q2748" s="185"/>
    </row>
    <row r="2749" spans="1:17" ht="14.25" hidden="1" outlineLevel="2">
      <c r="E2749" s="59"/>
      <c r="F2749" s="60"/>
      <c r="G2749" s="34"/>
      <c r="H2749" s="30" t="s">
        <v>4102</v>
      </c>
      <c r="I2749" s="35"/>
      <c r="J2749" s="41"/>
      <c r="K2749" s="33">
        <f>1.6+0.5</f>
        <v>2.1</v>
      </c>
      <c r="L2749" s="41"/>
      <c r="M2749" s="33"/>
      <c r="N2749" s="33">
        <v>7</v>
      </c>
      <c r="O2749" s="31">
        <f>ROUND(PRODUCT(J2749:N2749),2)</f>
        <v>14.7</v>
      </c>
    </row>
    <row r="2750" spans="1:17" ht="14.25" hidden="1" outlineLevel="2">
      <c r="E2750" s="59"/>
      <c r="F2750" s="60"/>
      <c r="G2750" s="34"/>
      <c r="H2750" s="30" t="s">
        <v>4103</v>
      </c>
      <c r="I2750" s="35"/>
      <c r="J2750" s="41"/>
      <c r="K2750" s="33">
        <f>2.1+0.5</f>
        <v>2.6</v>
      </c>
      <c r="L2750" s="41"/>
      <c r="M2750" s="33"/>
      <c r="N2750" s="33">
        <v>1</v>
      </c>
      <c r="O2750" s="31">
        <f>ROUND(PRODUCT(J2750:N2750),2)</f>
        <v>2.6</v>
      </c>
    </row>
    <row r="2751" spans="1:17" ht="14.25" hidden="1" outlineLevel="2">
      <c r="E2751" s="59"/>
      <c r="F2751" s="60"/>
      <c r="G2751" s="34"/>
      <c r="H2751" s="30" t="s">
        <v>4104</v>
      </c>
      <c r="I2751" s="35"/>
      <c r="J2751" s="41"/>
      <c r="K2751" s="33">
        <f>6.27+0.5</f>
        <v>6.77</v>
      </c>
      <c r="L2751" s="41"/>
      <c r="M2751" s="33"/>
      <c r="N2751" s="33">
        <v>6</v>
      </c>
      <c r="O2751" s="31">
        <f>ROUND(PRODUCT(J2751:N2751),2)</f>
        <v>40.619999999999997</v>
      </c>
    </row>
    <row r="2752" spans="1:17" ht="14.25" hidden="1" outlineLevel="2">
      <c r="E2752" s="59"/>
      <c r="F2752" s="60"/>
      <c r="G2752" s="34"/>
      <c r="H2752" s="30" t="s">
        <v>4105</v>
      </c>
      <c r="I2752" s="35"/>
      <c r="J2752" s="41"/>
      <c r="K2752" s="33">
        <f>5.03+0.5</f>
        <v>5.53</v>
      </c>
      <c r="L2752" s="41"/>
      <c r="M2752" s="33"/>
      <c r="N2752" s="33">
        <v>2</v>
      </c>
      <c r="O2752" s="31">
        <f>ROUND(PRODUCT(J2752:N2752),2)</f>
        <v>11.06</v>
      </c>
    </row>
    <row r="2753" spans="1:17" hidden="1" outlineLevel="1">
      <c r="A2753" s="2">
        <v>7</v>
      </c>
      <c r="B2753" s="2">
        <v>3</v>
      </c>
      <c r="C2753" s="2" t="e">
        <f>1+C2748</f>
        <v>#REF!</v>
      </c>
      <c r="E2753" s="20" t="e">
        <f>CONCATENATE(A2753,".",B2753,".",C2753)</f>
        <v>#REF!</v>
      </c>
      <c r="F2753" s="21" t="s">
        <v>4106</v>
      </c>
      <c r="G2753" s="113">
        <v>105028</v>
      </c>
      <c r="H2753" s="114" t="s">
        <v>150</v>
      </c>
      <c r="I2753" s="115" t="s">
        <v>144</v>
      </c>
      <c r="J2753" s="25"/>
      <c r="K2753" s="10"/>
      <c r="L2753" s="32"/>
      <c r="M2753" s="10"/>
      <c r="N2753" s="33"/>
      <c r="O2753" s="27">
        <f>SUM(O2754:O2754)</f>
        <v>5.34</v>
      </c>
      <c r="P2753" s="185"/>
      <c r="Q2753" s="185"/>
    </row>
    <row r="2754" spans="1:17" ht="14.25" hidden="1" outlineLevel="2">
      <c r="E2754" s="59"/>
      <c r="F2754" s="60"/>
      <c r="G2754" s="34"/>
      <c r="H2754" s="30" t="s">
        <v>3630</v>
      </c>
      <c r="I2754" s="35"/>
      <c r="J2754" s="41"/>
      <c r="K2754" s="33">
        <f>1.28+0.5</f>
        <v>1.78</v>
      </c>
      <c r="L2754" s="41"/>
      <c r="M2754" s="33"/>
      <c r="N2754" s="33">
        <v>3</v>
      </c>
      <c r="O2754" s="31">
        <f>ROUND(PRODUCT(J2754:N2754),2)</f>
        <v>5.34</v>
      </c>
    </row>
    <row r="2755" spans="1:17" hidden="1" outlineLevel="1">
      <c r="A2755" s="2">
        <v>7</v>
      </c>
      <c r="B2755" s="2">
        <v>3</v>
      </c>
      <c r="C2755" s="2" t="e">
        <f>1+C2753</f>
        <v>#REF!</v>
      </c>
      <c r="E2755" s="20" t="e">
        <f>CONCATENATE(A2755,".",B2755,".",C2755)</f>
        <v>#REF!</v>
      </c>
      <c r="F2755" s="21" t="s">
        <v>4107</v>
      </c>
      <c r="G2755" s="113">
        <v>105027</v>
      </c>
      <c r="H2755" s="114" t="s">
        <v>153</v>
      </c>
      <c r="I2755" s="115" t="s">
        <v>144</v>
      </c>
      <c r="J2755" s="25"/>
      <c r="K2755" s="10"/>
      <c r="L2755" s="32"/>
      <c r="M2755" s="10"/>
      <c r="N2755" s="33"/>
      <c r="O2755" s="27">
        <f>SUM(O2756:O2757)</f>
        <v>51.68</v>
      </c>
      <c r="P2755" s="185"/>
      <c r="Q2755" s="185"/>
    </row>
    <row r="2756" spans="1:17" ht="14.25" hidden="1" outlineLevel="2">
      <c r="E2756" s="59"/>
      <c r="F2756" s="60"/>
      <c r="G2756" s="34"/>
      <c r="H2756" s="30" t="s">
        <v>4104</v>
      </c>
      <c r="I2756" s="35"/>
      <c r="J2756" s="41"/>
      <c r="K2756" s="33">
        <f>6.27+0.5</f>
        <v>6.77</v>
      </c>
      <c r="L2756" s="41"/>
      <c r="M2756" s="33"/>
      <c r="N2756" s="33">
        <v>6</v>
      </c>
      <c r="O2756" s="31">
        <f>ROUND(PRODUCT(J2756:N2756),2)</f>
        <v>40.619999999999997</v>
      </c>
    </row>
    <row r="2757" spans="1:17" ht="14.25" hidden="1" outlineLevel="2">
      <c r="E2757" s="59"/>
      <c r="F2757" s="60"/>
      <c r="G2757" s="34"/>
      <c r="H2757" s="30" t="s">
        <v>4105</v>
      </c>
      <c r="I2757" s="35"/>
      <c r="J2757" s="41"/>
      <c r="K2757" s="33">
        <f>5.03+0.5</f>
        <v>5.53</v>
      </c>
      <c r="L2757" s="41"/>
      <c r="M2757" s="33"/>
      <c r="N2757" s="33">
        <v>2</v>
      </c>
      <c r="O2757" s="31">
        <f>ROUND(PRODUCT(J2757:N2757),2)</f>
        <v>11.06</v>
      </c>
    </row>
    <row r="2758" spans="1:17" collapsed="1">
      <c r="A2758" s="2">
        <v>7</v>
      </c>
      <c r="B2758" s="2">
        <v>4</v>
      </c>
      <c r="E2758" s="42" t="str">
        <f>CONCATENATE(A2758,".",B2758)</f>
        <v>7.4</v>
      </c>
      <c r="F2758" s="45" t="s">
        <v>4108</v>
      </c>
      <c r="G2758" s="13"/>
      <c r="H2758" s="14" t="s">
        <v>158</v>
      </c>
      <c r="I2758" s="15"/>
      <c r="J2758" s="16"/>
      <c r="K2758" s="17"/>
      <c r="L2758" s="16"/>
      <c r="M2758" s="17"/>
      <c r="N2758" s="18"/>
      <c r="O2758" s="19"/>
      <c r="P2758" s="185"/>
      <c r="Q2758" s="185"/>
    </row>
    <row r="2759" spans="1:17" ht="30" hidden="1" outlineLevel="1">
      <c r="A2759" s="2">
        <v>7</v>
      </c>
      <c r="B2759" s="2">
        <v>4</v>
      </c>
      <c r="C2759" s="2" t="e">
        <f>1+#REF!</f>
        <v>#REF!</v>
      </c>
      <c r="E2759" s="20" t="e">
        <f>CONCATENATE(A2759,".",B2759,".",C2759)</f>
        <v>#REF!</v>
      </c>
      <c r="F2759" s="21" t="s">
        <v>4109</v>
      </c>
      <c r="G2759" s="113">
        <v>94228</v>
      </c>
      <c r="H2759" s="114" t="s">
        <v>161</v>
      </c>
      <c r="I2759" s="115" t="s">
        <v>144</v>
      </c>
      <c r="J2759" s="25"/>
      <c r="K2759" s="10"/>
      <c r="L2759" s="32"/>
      <c r="M2759" s="10"/>
      <c r="N2759" s="33"/>
      <c r="O2759" s="27">
        <f>SUM(O2760)</f>
        <v>40</v>
      </c>
      <c r="P2759" s="185"/>
      <c r="Q2759" s="185"/>
    </row>
    <row r="2760" spans="1:17" hidden="1" outlineLevel="2">
      <c r="E2760" s="59"/>
      <c r="F2760" s="60"/>
      <c r="G2760" s="34"/>
      <c r="H2760" s="30"/>
      <c r="I2760" s="35"/>
      <c r="J2760" s="32"/>
      <c r="K2760" s="33">
        <v>20</v>
      </c>
      <c r="L2760" s="32"/>
      <c r="M2760" s="10"/>
      <c r="N2760" s="33">
        <v>2</v>
      </c>
      <c r="O2760" s="58">
        <f>ROUND(PRODUCT(J2760:N2760),2)</f>
        <v>40</v>
      </c>
      <c r="P2760" s="185"/>
      <c r="Q2760" s="185"/>
    </row>
    <row r="2761" spans="1:17" ht="30" hidden="1" outlineLevel="1">
      <c r="A2761" s="2">
        <v>7</v>
      </c>
      <c r="B2761" s="2">
        <v>4</v>
      </c>
      <c r="C2761" s="2" t="e">
        <f>1+C2759</f>
        <v>#REF!</v>
      </c>
      <c r="E2761" s="20" t="e">
        <f>CONCATENATE(A2761,".",B2761,".",C2761)</f>
        <v>#REF!</v>
      </c>
      <c r="F2761" s="21" t="s">
        <v>4110</v>
      </c>
      <c r="G2761" s="22" t="s">
        <v>169</v>
      </c>
      <c r="H2761" s="23" t="s">
        <v>170</v>
      </c>
      <c r="I2761" s="24" t="s">
        <v>144</v>
      </c>
      <c r="J2761" s="25"/>
      <c r="K2761" s="10"/>
      <c r="L2761" s="32"/>
      <c r="M2761" s="10"/>
      <c r="N2761" s="33"/>
      <c r="O2761" s="27">
        <f>SUM(O2762)</f>
        <v>98.37</v>
      </c>
      <c r="P2761" s="185"/>
      <c r="Q2761" s="185"/>
    </row>
    <row r="2762" spans="1:17" hidden="1" outlineLevel="2">
      <c r="E2762" s="59"/>
      <c r="F2762" s="60"/>
      <c r="G2762" s="34"/>
      <c r="H2762" s="30"/>
      <c r="I2762" s="35"/>
      <c r="J2762" s="32"/>
      <c r="K2762" s="33">
        <v>98.37</v>
      </c>
      <c r="L2762" s="32"/>
      <c r="M2762" s="10"/>
      <c r="N2762" s="33"/>
      <c r="O2762" s="58">
        <f>ROUND(PRODUCT(J2762:N2762),2)</f>
        <v>98.37</v>
      </c>
      <c r="P2762" s="185"/>
      <c r="Q2762" s="185"/>
    </row>
    <row r="2763" spans="1:17" ht="45" hidden="1" outlineLevel="1">
      <c r="A2763" s="2">
        <v>7</v>
      </c>
      <c r="B2763" s="2">
        <v>4</v>
      </c>
      <c r="C2763" s="2" t="e">
        <f>1+C2761</f>
        <v>#REF!</v>
      </c>
      <c r="E2763" s="20" t="e">
        <f>CONCATENATE(A2763,".",B2763,".",C2763)</f>
        <v>#REF!</v>
      </c>
      <c r="F2763" s="21" t="s">
        <v>4111</v>
      </c>
      <c r="G2763" s="113">
        <v>2240</v>
      </c>
      <c r="H2763" s="114" t="s">
        <v>176</v>
      </c>
      <c r="I2763" s="115" t="s">
        <v>45</v>
      </c>
      <c r="J2763" s="25"/>
      <c r="K2763" s="10"/>
      <c r="L2763" s="32"/>
      <c r="M2763" s="10"/>
      <c r="N2763" s="33"/>
      <c r="O2763" s="27">
        <f>SUM(O2764:O2764)</f>
        <v>462.05</v>
      </c>
      <c r="P2763" s="185"/>
      <c r="Q2763" s="185"/>
    </row>
    <row r="2764" spans="1:17" hidden="1" outlineLevel="2">
      <c r="E2764" s="59"/>
      <c r="F2764" s="60"/>
      <c r="G2764" s="34"/>
      <c r="H2764" s="30"/>
      <c r="I2764" s="35"/>
      <c r="J2764" s="32"/>
      <c r="K2764" s="33"/>
      <c r="L2764" s="32"/>
      <c r="M2764" s="10"/>
      <c r="N2764" s="33">
        <v>462.05</v>
      </c>
      <c r="O2764" s="58">
        <f>ROUND(PRODUCT(J2764:N2764),2)</f>
        <v>462.05</v>
      </c>
      <c r="P2764" s="185"/>
      <c r="Q2764" s="185"/>
    </row>
    <row r="2765" spans="1:17" ht="45" hidden="1" outlineLevel="1">
      <c r="A2765" s="2">
        <v>7</v>
      </c>
      <c r="B2765" s="2">
        <v>4</v>
      </c>
      <c r="C2765" s="2" t="e">
        <f>1+C2763</f>
        <v>#REF!</v>
      </c>
      <c r="E2765" s="20" t="e">
        <f>CONCATENATE(A2765,".",B2765,".",C2765)</f>
        <v>#REF!</v>
      </c>
      <c r="F2765" s="21" t="s">
        <v>4112</v>
      </c>
      <c r="G2765" s="113">
        <v>94210</v>
      </c>
      <c r="H2765" s="114" t="s">
        <v>182</v>
      </c>
      <c r="I2765" s="24" t="s">
        <v>276</v>
      </c>
      <c r="J2765" s="25"/>
      <c r="K2765" s="10"/>
      <c r="L2765" s="32"/>
      <c r="M2765" s="10"/>
      <c r="N2765" s="33"/>
      <c r="O2765" s="27">
        <f>SUM(O2766:O2766)</f>
        <v>462.05</v>
      </c>
      <c r="P2765" s="185"/>
      <c r="Q2765" s="185"/>
    </row>
    <row r="2766" spans="1:17" hidden="1" outlineLevel="2">
      <c r="E2766" s="59"/>
      <c r="F2766" s="60"/>
      <c r="G2766" s="34"/>
      <c r="H2766" s="30"/>
      <c r="I2766" s="35"/>
      <c r="J2766" s="32"/>
      <c r="K2766" s="33"/>
      <c r="L2766" s="32"/>
      <c r="M2766" s="10"/>
      <c r="N2766" s="33">
        <v>462.05</v>
      </c>
      <c r="O2766" s="58">
        <f>ROUND(PRODUCT(J2766:N2766),2)</f>
        <v>462.05</v>
      </c>
      <c r="P2766" s="185"/>
      <c r="Q2766" s="185"/>
    </row>
    <row r="2767" spans="1:17" ht="30" hidden="1" outlineLevel="1">
      <c r="A2767" s="2">
        <v>7</v>
      </c>
      <c r="B2767" s="2">
        <v>4</v>
      </c>
      <c r="C2767" s="2" t="e">
        <f>1+C2765</f>
        <v>#REF!</v>
      </c>
      <c r="E2767" s="20" t="e">
        <f>CONCATENATE(A2767,".",B2767,".",C2767)</f>
        <v>#REF!</v>
      </c>
      <c r="F2767" s="21" t="s">
        <v>4113</v>
      </c>
      <c r="G2767" s="22">
        <v>94223</v>
      </c>
      <c r="H2767" s="23" t="s">
        <v>1297</v>
      </c>
      <c r="I2767" s="24" t="s">
        <v>144</v>
      </c>
      <c r="J2767" s="25"/>
      <c r="K2767" s="10"/>
      <c r="L2767" s="32"/>
      <c r="M2767" s="10"/>
      <c r="N2767" s="33"/>
      <c r="O2767" s="27">
        <f>SUM(O2768)</f>
        <v>20</v>
      </c>
      <c r="P2767" s="185"/>
      <c r="Q2767" s="185"/>
    </row>
    <row r="2768" spans="1:17" hidden="1" outlineLevel="2">
      <c r="E2768" s="59"/>
      <c r="F2768" s="60"/>
      <c r="G2768" s="34"/>
      <c r="H2768" s="30"/>
      <c r="I2768" s="35"/>
      <c r="J2768" s="32"/>
      <c r="K2768" s="33">
        <v>20</v>
      </c>
      <c r="L2768" s="32"/>
      <c r="M2768" s="10"/>
      <c r="N2768" s="33"/>
      <c r="O2768" s="58">
        <f>ROUND(PRODUCT(J2768:N2768),2)</f>
        <v>20</v>
      </c>
      <c r="P2768" s="185"/>
      <c r="Q2768" s="185"/>
    </row>
    <row r="2769" spans="1:17" ht="30" hidden="1" outlineLevel="1">
      <c r="A2769" s="2">
        <v>7</v>
      </c>
      <c r="B2769" s="2">
        <v>4</v>
      </c>
      <c r="C2769" s="2" t="e">
        <f>1+C2767</f>
        <v>#REF!</v>
      </c>
      <c r="E2769" s="20" t="e">
        <f>CONCATENATE(A2769,".",B2769,".",C2769)</f>
        <v>#REF!</v>
      </c>
      <c r="F2769" s="21" t="s">
        <v>4114</v>
      </c>
      <c r="G2769" s="22">
        <v>100327</v>
      </c>
      <c r="H2769" s="23" t="s">
        <v>188</v>
      </c>
      <c r="I2769" s="24" t="s">
        <v>144</v>
      </c>
      <c r="J2769" s="25"/>
      <c r="K2769" s="10"/>
      <c r="L2769" s="32"/>
      <c r="M2769" s="10"/>
      <c r="N2769" s="33"/>
      <c r="O2769" s="27">
        <f>SUM(O2770:O2770)</f>
        <v>92.66</v>
      </c>
      <c r="P2769" s="185"/>
      <c r="Q2769" s="185"/>
    </row>
    <row r="2770" spans="1:17" hidden="1" outlineLevel="2">
      <c r="E2770" s="59"/>
      <c r="F2770" s="60"/>
      <c r="G2770" s="34"/>
      <c r="H2770" s="30"/>
      <c r="I2770" s="35"/>
      <c r="J2770" s="32"/>
      <c r="K2770" s="33">
        <f>26.25+4.65*2+17.65+39.46</f>
        <v>92.66</v>
      </c>
      <c r="L2770" s="32"/>
      <c r="M2770" s="10"/>
      <c r="N2770" s="33"/>
      <c r="O2770" s="58">
        <f>ROUND(PRODUCT(J2770:N2770),2)</f>
        <v>92.66</v>
      </c>
      <c r="P2770" s="185"/>
      <c r="Q2770" s="185"/>
    </row>
    <row r="2771" spans="1:17" collapsed="1">
      <c r="A2771" s="2">
        <v>7</v>
      </c>
      <c r="B2771" s="2">
        <v>5</v>
      </c>
      <c r="E2771" s="42" t="str">
        <f>CONCATENATE(A2771,".",B2771)</f>
        <v>7.5</v>
      </c>
      <c r="F2771" s="45" t="s">
        <v>4115</v>
      </c>
      <c r="G2771" s="13"/>
      <c r="H2771" s="14" t="s">
        <v>190</v>
      </c>
      <c r="I2771" s="13"/>
      <c r="J2771" s="16"/>
      <c r="K2771" s="17"/>
      <c r="L2771" s="16"/>
      <c r="M2771" s="17"/>
      <c r="N2771" s="18"/>
      <c r="O2771" s="61"/>
      <c r="P2771" s="185"/>
      <c r="Q2771" s="185"/>
    </row>
    <row r="2772" spans="1:17" ht="30" hidden="1" outlineLevel="1">
      <c r="A2772" s="2">
        <v>7</v>
      </c>
      <c r="B2772" s="2">
        <v>5</v>
      </c>
      <c r="C2772" s="2">
        <f>1+C2771</f>
        <v>1</v>
      </c>
      <c r="E2772" s="20" t="str">
        <f>CONCATENATE(A2772,".",B2772,".",C2772)</f>
        <v>7.5.1</v>
      </c>
      <c r="F2772" s="21" t="s">
        <v>4116</v>
      </c>
      <c r="G2772" s="113">
        <v>98562</v>
      </c>
      <c r="H2772" s="114" t="s">
        <v>193</v>
      </c>
      <c r="I2772" s="24" t="s">
        <v>276</v>
      </c>
      <c r="J2772" s="32"/>
      <c r="K2772" s="10"/>
      <c r="L2772" s="32"/>
      <c r="M2772" s="10"/>
      <c r="N2772" s="10"/>
      <c r="O2772" s="11">
        <f>SUM(O2773:O2780)</f>
        <v>957.27</v>
      </c>
      <c r="P2772" s="185"/>
      <c r="Q2772" s="185"/>
    </row>
    <row r="2773" spans="1:17" hidden="1" outlineLevel="2">
      <c r="E2773" s="20"/>
      <c r="F2773" s="21"/>
      <c r="G2773" s="22"/>
      <c r="H2773" s="30" t="s">
        <v>3605</v>
      </c>
      <c r="I2773" s="24"/>
      <c r="J2773" s="32"/>
      <c r="K2773" s="33">
        <v>585.75</v>
      </c>
      <c r="L2773" s="41"/>
      <c r="M2773" s="33"/>
      <c r="N2773" s="33"/>
      <c r="O2773" s="58">
        <f t="shared" ref="O2773:O2780" si="70">ROUND(PRODUCT(J2773:N2773),2)</f>
        <v>585.75</v>
      </c>
      <c r="P2773" s="185"/>
      <c r="Q2773" s="185"/>
    </row>
    <row r="2774" spans="1:17" hidden="1" outlineLevel="2">
      <c r="E2774" s="20"/>
      <c r="F2774" s="21"/>
      <c r="G2774" s="22"/>
      <c r="H2774" s="30" t="s">
        <v>3012</v>
      </c>
      <c r="I2774" s="24"/>
      <c r="J2774" s="32"/>
      <c r="K2774" s="33"/>
      <c r="L2774" s="41"/>
      <c r="M2774" s="33"/>
      <c r="N2774" s="33">
        <v>5.63</v>
      </c>
      <c r="O2774" s="58">
        <f t="shared" si="70"/>
        <v>5.63</v>
      </c>
      <c r="P2774" s="185"/>
      <c r="Q2774" s="185"/>
    </row>
    <row r="2775" spans="1:17" hidden="1" outlineLevel="2">
      <c r="E2775" s="20"/>
      <c r="F2775" s="21"/>
      <c r="G2775" s="22"/>
      <c r="H2775" s="30" t="s">
        <v>3013</v>
      </c>
      <c r="I2775" s="24"/>
      <c r="J2775" s="32"/>
      <c r="K2775" s="33"/>
      <c r="L2775" s="41"/>
      <c r="M2775" s="33"/>
      <c r="N2775" s="33">
        <v>3.66</v>
      </c>
      <c r="O2775" s="58">
        <f t="shared" si="70"/>
        <v>3.66</v>
      </c>
      <c r="P2775" s="185"/>
      <c r="Q2775" s="185"/>
    </row>
    <row r="2776" spans="1:17" hidden="1" outlineLevel="2">
      <c r="E2776" s="20"/>
      <c r="F2776" s="21"/>
      <c r="G2776" s="22"/>
      <c r="H2776" s="30" t="s">
        <v>3041</v>
      </c>
      <c r="I2776" s="24"/>
      <c r="J2776" s="32"/>
      <c r="K2776" s="33"/>
      <c r="L2776" s="41"/>
      <c r="M2776" s="33"/>
      <c r="N2776" s="33">
        <v>6</v>
      </c>
      <c r="O2776" s="58">
        <f t="shared" si="70"/>
        <v>6</v>
      </c>
      <c r="P2776" s="185"/>
      <c r="Q2776" s="185"/>
    </row>
    <row r="2777" spans="1:17" hidden="1" outlineLevel="2">
      <c r="E2777" s="20"/>
      <c r="F2777" s="21"/>
      <c r="G2777" s="22"/>
      <c r="H2777" s="30" t="s">
        <v>4095</v>
      </c>
      <c r="I2777" s="24"/>
      <c r="J2777" s="32"/>
      <c r="K2777" s="33"/>
      <c r="L2777" s="41"/>
      <c r="M2777" s="33"/>
      <c r="N2777" s="33">
        <f>67.6+8.42</f>
        <v>76.02</v>
      </c>
      <c r="O2777" s="58">
        <f t="shared" si="70"/>
        <v>76.02</v>
      </c>
      <c r="P2777" s="185"/>
      <c r="Q2777" s="185"/>
    </row>
    <row r="2778" spans="1:17" hidden="1" outlineLevel="2">
      <c r="E2778" s="20"/>
      <c r="F2778" s="21"/>
      <c r="G2778" s="22"/>
      <c r="H2778" s="30" t="s">
        <v>4117</v>
      </c>
      <c r="I2778" s="24"/>
      <c r="J2778" s="32"/>
      <c r="K2778" s="33"/>
      <c r="L2778" s="41"/>
      <c r="M2778" s="33"/>
      <c r="N2778" s="33">
        <v>210.22</v>
      </c>
      <c r="O2778" s="58">
        <f t="shared" si="70"/>
        <v>210.22</v>
      </c>
      <c r="P2778" s="185"/>
      <c r="Q2778" s="185"/>
    </row>
    <row r="2779" spans="1:17" hidden="1" outlineLevel="2">
      <c r="E2779" s="20"/>
      <c r="F2779" s="21"/>
      <c r="G2779" s="22"/>
      <c r="H2779" s="30" t="s">
        <v>4118</v>
      </c>
      <c r="I2779" s="24"/>
      <c r="J2779" s="32"/>
      <c r="K2779" s="33"/>
      <c r="L2779" s="41"/>
      <c r="M2779" s="33"/>
      <c r="N2779" s="33">
        <v>44.11</v>
      </c>
      <c r="O2779" s="58">
        <f t="shared" si="70"/>
        <v>44.11</v>
      </c>
      <c r="P2779" s="185"/>
      <c r="Q2779" s="185"/>
    </row>
    <row r="2780" spans="1:17" hidden="1" outlineLevel="2">
      <c r="E2780" s="20"/>
      <c r="F2780" s="21"/>
      <c r="G2780" s="22"/>
      <c r="H2780" s="30" t="s">
        <v>4119</v>
      </c>
      <c r="I2780" s="24"/>
      <c r="J2780" s="32"/>
      <c r="K2780" s="33"/>
      <c r="L2780" s="41"/>
      <c r="M2780" s="33"/>
      <c r="N2780" s="33">
        <v>25.88</v>
      </c>
      <c r="O2780" s="58">
        <f t="shared" si="70"/>
        <v>25.88</v>
      </c>
      <c r="P2780" s="185"/>
      <c r="Q2780" s="185"/>
    </row>
    <row r="2781" spans="1:17" ht="30" hidden="1" outlineLevel="1">
      <c r="A2781" s="2">
        <v>7</v>
      </c>
      <c r="B2781" s="2">
        <v>5</v>
      </c>
      <c r="C2781" s="2">
        <f>1+C2772</f>
        <v>2</v>
      </c>
      <c r="E2781" s="20" t="str">
        <f>CONCATENATE(A2781,".",B2781,".",C2781)</f>
        <v>7.5.2</v>
      </c>
      <c r="F2781" s="21" t="s">
        <v>4120</v>
      </c>
      <c r="G2781" s="22">
        <v>1294</v>
      </c>
      <c r="H2781" s="23" t="s">
        <v>2983</v>
      </c>
      <c r="I2781" s="24" t="s">
        <v>45</v>
      </c>
      <c r="J2781" s="32"/>
      <c r="K2781" s="10"/>
      <c r="L2781" s="32"/>
      <c r="M2781" s="10"/>
      <c r="N2781" s="10"/>
      <c r="O2781" s="11">
        <f>SUM(O2782:O2803)</f>
        <v>1300.3899999999994</v>
      </c>
      <c r="P2781" s="185"/>
      <c r="Q2781" s="185"/>
    </row>
    <row r="2782" spans="1:17" hidden="1" outlineLevel="2">
      <c r="E2782" s="59"/>
      <c r="F2782" s="60"/>
      <c r="G2782" s="34"/>
      <c r="H2782" s="30" t="s">
        <v>3605</v>
      </c>
      <c r="I2782" s="24"/>
      <c r="J2782" s="32"/>
      <c r="K2782" s="33">
        <v>585.75</v>
      </c>
      <c r="L2782" s="41"/>
      <c r="M2782" s="33"/>
      <c r="N2782" s="33"/>
      <c r="O2782" s="58">
        <f t="shared" ref="O2782:O2788" si="71">ROUND(PRODUCT(J2782:N2782),2)</f>
        <v>585.75</v>
      </c>
      <c r="P2782" s="185"/>
      <c r="Q2782" s="185"/>
    </row>
    <row r="2783" spans="1:17" hidden="1" outlineLevel="2">
      <c r="E2783" s="59"/>
      <c r="F2783" s="60"/>
      <c r="G2783" s="34"/>
      <c r="H2783" s="30" t="s">
        <v>3012</v>
      </c>
      <c r="I2783" s="24"/>
      <c r="J2783" s="32"/>
      <c r="K2783" s="33"/>
      <c r="L2783" s="41"/>
      <c r="M2783" s="33"/>
      <c r="N2783" s="33">
        <v>5.63</v>
      </c>
      <c r="O2783" s="58">
        <f t="shared" si="71"/>
        <v>5.63</v>
      </c>
      <c r="P2783" s="185"/>
      <c r="Q2783" s="185"/>
    </row>
    <row r="2784" spans="1:17" hidden="1" outlineLevel="2">
      <c r="E2784" s="59"/>
      <c r="F2784" s="60"/>
      <c r="G2784" s="34"/>
      <c r="H2784" s="30" t="s">
        <v>3013</v>
      </c>
      <c r="I2784" s="24"/>
      <c r="J2784" s="32"/>
      <c r="K2784" s="33"/>
      <c r="L2784" s="41"/>
      <c r="M2784" s="33"/>
      <c r="N2784" s="33">
        <v>3.66</v>
      </c>
      <c r="O2784" s="58">
        <f t="shared" si="71"/>
        <v>3.66</v>
      </c>
      <c r="P2784" s="185"/>
      <c r="Q2784" s="185"/>
    </row>
    <row r="2785" spans="5:17" hidden="1" outlineLevel="2">
      <c r="E2785" s="59"/>
      <c r="F2785" s="60"/>
      <c r="G2785" s="34"/>
      <c r="H2785" s="30" t="s">
        <v>3041</v>
      </c>
      <c r="I2785" s="24"/>
      <c r="J2785" s="32"/>
      <c r="K2785" s="33"/>
      <c r="L2785" s="41"/>
      <c r="M2785" s="33"/>
      <c r="N2785" s="33">
        <v>6</v>
      </c>
      <c r="O2785" s="58">
        <f t="shared" si="71"/>
        <v>6</v>
      </c>
      <c r="P2785" s="185"/>
      <c r="Q2785" s="185"/>
    </row>
    <row r="2786" spans="5:17" hidden="1" outlineLevel="2">
      <c r="E2786" s="59"/>
      <c r="F2786" s="60"/>
      <c r="G2786" s="34"/>
      <c r="H2786" s="30" t="s">
        <v>4095</v>
      </c>
      <c r="I2786" s="24"/>
      <c r="J2786" s="32"/>
      <c r="K2786" s="33"/>
      <c r="L2786" s="41"/>
      <c r="M2786" s="33"/>
      <c r="N2786" s="33">
        <f>67.6+8.42</f>
        <v>76.02</v>
      </c>
      <c r="O2786" s="58">
        <f t="shared" si="71"/>
        <v>76.02</v>
      </c>
      <c r="P2786" s="185"/>
      <c r="Q2786" s="185"/>
    </row>
    <row r="2787" spans="5:17" hidden="1" outlineLevel="2">
      <c r="E2787" s="59"/>
      <c r="F2787" s="60"/>
      <c r="G2787" s="34"/>
      <c r="H2787" s="30" t="s">
        <v>4117</v>
      </c>
      <c r="I2787" s="24"/>
      <c r="J2787" s="32"/>
      <c r="K2787" s="33"/>
      <c r="L2787" s="41"/>
      <c r="M2787" s="33"/>
      <c r="N2787" s="33">
        <v>210.22</v>
      </c>
      <c r="O2787" s="58">
        <f t="shared" si="71"/>
        <v>210.22</v>
      </c>
      <c r="P2787" s="185"/>
      <c r="Q2787" s="185"/>
    </row>
    <row r="2788" spans="5:17" hidden="1" outlineLevel="2">
      <c r="E2788" s="59"/>
      <c r="F2788" s="60"/>
      <c r="G2788" s="34"/>
      <c r="H2788" s="30" t="s">
        <v>4118</v>
      </c>
      <c r="I2788" s="24"/>
      <c r="J2788" s="32"/>
      <c r="K2788" s="33"/>
      <c r="L2788" s="41"/>
      <c r="M2788" s="33"/>
      <c r="N2788" s="33">
        <v>44.11</v>
      </c>
      <c r="O2788" s="58">
        <f t="shared" si="71"/>
        <v>44.11</v>
      </c>
      <c r="P2788" s="185"/>
      <c r="Q2788" s="185"/>
    </row>
    <row r="2789" spans="5:17" hidden="1" outlineLevel="2">
      <c r="E2789" s="59"/>
      <c r="F2789" s="60"/>
      <c r="G2789" s="34"/>
      <c r="H2789" s="30" t="s">
        <v>4117</v>
      </c>
      <c r="I2789" s="24"/>
      <c r="J2789" s="32"/>
      <c r="K2789" s="33"/>
      <c r="L2789" s="41"/>
      <c r="M2789" s="33"/>
      <c r="N2789" s="33">
        <v>210.22</v>
      </c>
      <c r="O2789" s="58">
        <f>ROUND(PRODUCT(J2789:N2789),2)</f>
        <v>210.22</v>
      </c>
      <c r="P2789" s="185"/>
      <c r="Q2789" s="185"/>
    </row>
    <row r="2790" spans="5:17" hidden="1" outlineLevel="2">
      <c r="E2790" s="20"/>
      <c r="F2790" s="21"/>
      <c r="G2790" s="22"/>
      <c r="H2790" s="30" t="s">
        <v>4121</v>
      </c>
      <c r="I2790" s="24"/>
      <c r="J2790" s="58"/>
      <c r="K2790" s="33">
        <v>9.75</v>
      </c>
      <c r="L2790" s="41"/>
      <c r="M2790" s="33">
        <v>0.7</v>
      </c>
      <c r="N2790" s="33"/>
      <c r="O2790" s="58">
        <f t="shared" ref="O2790:O2803" si="72">ROUND(PRODUCT(J2790:N2790),2)</f>
        <v>6.83</v>
      </c>
      <c r="P2790" s="185"/>
      <c r="Q2790" s="185"/>
    </row>
    <row r="2791" spans="5:17" hidden="1" outlineLevel="2">
      <c r="E2791" s="20"/>
      <c r="F2791" s="21"/>
      <c r="G2791" s="22"/>
      <c r="H2791" s="30" t="str">
        <f>_xlfn.CONCAT(H2790," - VÃO")</f>
        <v>WC FEM - PAREDE - VÃO</v>
      </c>
      <c r="I2791" s="24"/>
      <c r="J2791" s="58">
        <v>-1</v>
      </c>
      <c r="K2791" s="33">
        <v>0.9</v>
      </c>
      <c r="L2791" s="41"/>
      <c r="M2791" s="33">
        <v>0.7</v>
      </c>
      <c r="N2791" s="33"/>
      <c r="O2791" s="58">
        <f t="shared" si="72"/>
        <v>-0.63</v>
      </c>
      <c r="P2791" s="185"/>
      <c r="Q2791" s="185"/>
    </row>
    <row r="2792" spans="5:17" hidden="1" outlineLevel="2">
      <c r="E2792" s="20"/>
      <c r="F2792" s="21"/>
      <c r="G2792" s="22"/>
      <c r="H2792" s="30" t="s">
        <v>4122</v>
      </c>
      <c r="I2792" s="24"/>
      <c r="J2792" s="58"/>
      <c r="K2792" s="33">
        <v>7.65</v>
      </c>
      <c r="L2792" s="41"/>
      <c r="M2792" s="33">
        <v>0.7</v>
      </c>
      <c r="N2792" s="33"/>
      <c r="O2792" s="58">
        <f t="shared" si="72"/>
        <v>5.36</v>
      </c>
      <c r="P2792" s="185"/>
      <c r="Q2792" s="185"/>
    </row>
    <row r="2793" spans="5:17" hidden="1" outlineLevel="2">
      <c r="E2793" s="20"/>
      <c r="F2793" s="21"/>
      <c r="G2793" s="22"/>
      <c r="H2793" s="30" t="str">
        <f>_xlfn.CONCAT(H2792," - VÃO")</f>
        <v>WC PCD  - PAREDE - VÃO</v>
      </c>
      <c r="I2793" s="24"/>
      <c r="J2793" s="58">
        <v>-1</v>
      </c>
      <c r="K2793" s="33">
        <v>0.9</v>
      </c>
      <c r="L2793" s="41"/>
      <c r="M2793" s="33">
        <v>0.7</v>
      </c>
      <c r="N2793" s="33"/>
      <c r="O2793" s="58">
        <f t="shared" si="72"/>
        <v>-0.63</v>
      </c>
      <c r="P2793" s="185"/>
      <c r="Q2793" s="185"/>
    </row>
    <row r="2794" spans="5:17" hidden="1" outlineLevel="2">
      <c r="E2794" s="20"/>
      <c r="F2794" s="21"/>
      <c r="G2794" s="22"/>
      <c r="H2794" s="30" t="s">
        <v>4123</v>
      </c>
      <c r="I2794" s="24"/>
      <c r="J2794" s="58"/>
      <c r="K2794" s="33">
        <v>10.15</v>
      </c>
      <c r="L2794" s="41"/>
      <c r="M2794" s="33">
        <v>0.7</v>
      </c>
      <c r="N2794" s="33"/>
      <c r="O2794" s="58">
        <f t="shared" si="72"/>
        <v>7.11</v>
      </c>
      <c r="P2794" s="185"/>
      <c r="Q2794" s="185"/>
    </row>
    <row r="2795" spans="5:17" hidden="1" outlineLevel="2">
      <c r="E2795" s="20"/>
      <c r="F2795" s="21"/>
      <c r="G2795" s="22"/>
      <c r="H2795" s="30" t="str">
        <f>_xlfn.CONCAT(H2794," - VÃO")</f>
        <v>WC MASC  - PAREDE - VÃO</v>
      </c>
      <c r="I2795" s="24"/>
      <c r="J2795" s="58">
        <v>-1</v>
      </c>
      <c r="K2795" s="33">
        <v>0.9</v>
      </c>
      <c r="L2795" s="41"/>
      <c r="M2795" s="33">
        <v>0.7</v>
      </c>
      <c r="N2795" s="33"/>
      <c r="O2795" s="58">
        <f t="shared" si="72"/>
        <v>-0.63</v>
      </c>
      <c r="P2795" s="185"/>
      <c r="Q2795" s="185"/>
    </row>
    <row r="2796" spans="5:17" hidden="1" outlineLevel="2">
      <c r="E2796" s="20"/>
      <c r="F2796" s="21"/>
      <c r="G2796" s="22"/>
      <c r="H2796" s="30" t="s">
        <v>4124</v>
      </c>
      <c r="I2796" s="24"/>
      <c r="J2796" s="58"/>
      <c r="K2796" s="33">
        <v>53.02</v>
      </c>
      <c r="L2796" s="41"/>
      <c r="M2796" s="33">
        <v>0.7</v>
      </c>
      <c r="N2796" s="33"/>
      <c r="O2796" s="58">
        <f t="shared" si="72"/>
        <v>37.11</v>
      </c>
      <c r="P2796" s="185"/>
      <c r="Q2796" s="185"/>
    </row>
    <row r="2797" spans="5:17" hidden="1" outlineLevel="2">
      <c r="E2797" s="20"/>
      <c r="F2797" s="21"/>
      <c r="G2797" s="22"/>
      <c r="H2797" s="30" t="str">
        <f>_xlfn.CONCAT(H2796," - VÃO")</f>
        <v>CIRC LAB ESP  - PAREDE - VÃO</v>
      </c>
      <c r="I2797" s="24"/>
      <c r="J2797" s="58">
        <v>-1</v>
      </c>
      <c r="K2797" s="33">
        <f>0.9*3+1.6</f>
        <v>4.3000000000000007</v>
      </c>
      <c r="L2797" s="41"/>
      <c r="M2797" s="33">
        <v>0.7</v>
      </c>
      <c r="N2797" s="33"/>
      <c r="O2797" s="58">
        <f t="shared" si="72"/>
        <v>-3.01</v>
      </c>
      <c r="P2797" s="185"/>
      <c r="Q2797" s="185"/>
    </row>
    <row r="2798" spans="5:17" hidden="1" outlineLevel="2">
      <c r="E2798" s="20"/>
      <c r="F2798" s="21"/>
      <c r="G2798" s="22"/>
      <c r="H2798" s="30" t="s">
        <v>4125</v>
      </c>
      <c r="I2798" s="24"/>
      <c r="J2798" s="58"/>
      <c r="K2798" s="33">
        <v>61.07</v>
      </c>
      <c r="L2798" s="41"/>
      <c r="M2798" s="33">
        <v>0.7</v>
      </c>
      <c r="N2798" s="33"/>
      <c r="O2798" s="58">
        <f t="shared" si="72"/>
        <v>42.75</v>
      </c>
      <c r="P2798" s="185"/>
      <c r="Q2798" s="185"/>
    </row>
    <row r="2799" spans="5:17" hidden="1" outlineLevel="2">
      <c r="E2799" s="20"/>
      <c r="F2799" s="21"/>
      <c r="G2799" s="22"/>
      <c r="H2799" s="30" t="str">
        <f>_xlfn.CONCAT(H2798," - VÃO")</f>
        <v>LABORATORIOS ESPECIAIS  1 - PAREDE - VÃO</v>
      </c>
      <c r="I2799" s="24"/>
      <c r="J2799" s="58">
        <v>-1</v>
      </c>
      <c r="K2799" s="33">
        <f>1.6*3</f>
        <v>4.8000000000000007</v>
      </c>
      <c r="L2799" s="41"/>
      <c r="M2799" s="33">
        <v>0.7</v>
      </c>
      <c r="N2799" s="33"/>
      <c r="O2799" s="58">
        <f t="shared" si="72"/>
        <v>-3.36</v>
      </c>
      <c r="P2799" s="185"/>
      <c r="Q2799" s="185"/>
    </row>
    <row r="2800" spans="5:17" hidden="1" outlineLevel="2">
      <c r="E2800" s="20"/>
      <c r="F2800" s="21"/>
      <c r="G2800" s="22"/>
      <c r="H2800" s="30" t="s">
        <v>4126</v>
      </c>
      <c r="I2800" s="24"/>
      <c r="J2800" s="58"/>
      <c r="K2800" s="33">
        <v>44.5</v>
      </c>
      <c r="L2800" s="41"/>
      <c r="M2800" s="33">
        <v>0.7</v>
      </c>
      <c r="N2800" s="33"/>
      <c r="O2800" s="58">
        <f t="shared" si="72"/>
        <v>31.15</v>
      </c>
      <c r="P2800" s="185"/>
      <c r="Q2800" s="185"/>
    </row>
    <row r="2801" spans="1:17" hidden="1" outlineLevel="2">
      <c r="E2801" s="20"/>
      <c r="F2801" s="21"/>
      <c r="G2801" s="22"/>
      <c r="H2801" s="30" t="str">
        <f>_xlfn.CONCAT(H2800," - VÃO")</f>
        <v>CIRC  - PAREDE - VÃO</v>
      </c>
      <c r="I2801" s="24"/>
      <c r="J2801" s="58">
        <v>-1</v>
      </c>
      <c r="K2801" s="33">
        <f>1.6+2.2</f>
        <v>3.8000000000000003</v>
      </c>
      <c r="L2801" s="41"/>
      <c r="M2801" s="33">
        <v>0.7</v>
      </c>
      <c r="N2801" s="33"/>
      <c r="O2801" s="58">
        <f t="shared" si="72"/>
        <v>-2.66</v>
      </c>
      <c r="P2801" s="185"/>
      <c r="Q2801" s="185"/>
    </row>
    <row r="2802" spans="1:17" hidden="1" outlineLevel="2">
      <c r="E2802" s="20"/>
      <c r="F2802" s="21"/>
      <c r="G2802" s="22"/>
      <c r="H2802" s="30" t="s">
        <v>4127</v>
      </c>
      <c r="I2802" s="24"/>
      <c r="J2802" s="58"/>
      <c r="K2802" s="33">
        <v>61.07</v>
      </c>
      <c r="L2802" s="41"/>
      <c r="M2802" s="33">
        <v>0.7</v>
      </c>
      <c r="N2802" s="33"/>
      <c r="O2802" s="58">
        <f t="shared" si="72"/>
        <v>42.75</v>
      </c>
      <c r="P2802" s="185"/>
      <c r="Q2802" s="185"/>
    </row>
    <row r="2803" spans="1:17" hidden="1" outlineLevel="2">
      <c r="E2803" s="20"/>
      <c r="F2803" s="21"/>
      <c r="G2803" s="22"/>
      <c r="H2803" s="30" t="str">
        <f>_xlfn.CONCAT(H2802," - VÃO")</f>
        <v>LABORATORIOS ESPECIAIS 2  - PAREDE - VÃO</v>
      </c>
      <c r="I2803" s="24"/>
      <c r="J2803" s="58">
        <v>-1</v>
      </c>
      <c r="K2803" s="33">
        <f>1.6*3</f>
        <v>4.8000000000000007</v>
      </c>
      <c r="L2803" s="41"/>
      <c r="M2803" s="33">
        <v>0.7</v>
      </c>
      <c r="N2803" s="33"/>
      <c r="O2803" s="58">
        <f t="shared" si="72"/>
        <v>-3.36</v>
      </c>
      <c r="P2803" s="185"/>
      <c r="Q2803" s="185"/>
    </row>
    <row r="2804" spans="1:17" ht="30" hidden="1" outlineLevel="1">
      <c r="A2804" s="2">
        <v>7</v>
      </c>
      <c r="B2804" s="2">
        <v>5</v>
      </c>
      <c r="C2804" s="2">
        <f>1+C2781</f>
        <v>3</v>
      </c>
      <c r="E2804" s="20" t="str">
        <f>CONCATENATE(A2804,".",B2804,".",C2804)</f>
        <v>7.5.3</v>
      </c>
      <c r="F2804" s="21" t="s">
        <v>4128</v>
      </c>
      <c r="G2804" s="22" t="s">
        <v>1303</v>
      </c>
      <c r="H2804" s="23" t="s">
        <v>1304</v>
      </c>
      <c r="I2804" s="24" t="s">
        <v>45</v>
      </c>
      <c r="J2804" s="32"/>
      <c r="K2804" s="10"/>
      <c r="L2804" s="32"/>
      <c r="M2804" s="10"/>
      <c r="N2804" s="10"/>
      <c r="O2804" s="11">
        <f>SUM(O2805:O2805)</f>
        <v>585.75</v>
      </c>
      <c r="P2804" s="185"/>
      <c r="Q2804" s="185"/>
    </row>
    <row r="2805" spans="1:17" hidden="1" outlineLevel="2">
      <c r="E2805" s="59"/>
      <c r="F2805" s="60"/>
      <c r="G2805" s="34"/>
      <c r="H2805" s="30" t="s">
        <v>3605</v>
      </c>
      <c r="I2805" s="24"/>
      <c r="J2805" s="32"/>
      <c r="K2805" s="33">
        <v>585.75</v>
      </c>
      <c r="L2805" s="41"/>
      <c r="M2805" s="33"/>
      <c r="N2805" s="33"/>
      <c r="O2805" s="58">
        <f>ROUND(PRODUCT(J2805:N2805),2)</f>
        <v>585.75</v>
      </c>
      <c r="P2805" s="185"/>
      <c r="Q2805" s="185"/>
    </row>
    <row r="2806" spans="1:17" ht="30" hidden="1" outlineLevel="1">
      <c r="A2806" s="2">
        <v>7</v>
      </c>
      <c r="B2806" s="2">
        <v>5</v>
      </c>
      <c r="C2806" s="2">
        <f>1+C2804</f>
        <v>4</v>
      </c>
      <c r="E2806" s="20" t="str">
        <f>CONCATENATE(A2806,".",B2806,".",C2806)</f>
        <v>7.5.4</v>
      </c>
      <c r="F2806" s="21" t="s">
        <v>4129</v>
      </c>
      <c r="G2806" s="22">
        <v>98557</v>
      </c>
      <c r="H2806" s="23" t="s">
        <v>202</v>
      </c>
      <c r="I2806" s="24" t="s">
        <v>45</v>
      </c>
      <c r="J2806" s="32"/>
      <c r="K2806" s="10"/>
      <c r="L2806" s="32"/>
      <c r="M2806" s="10"/>
      <c r="N2806" s="10"/>
      <c r="O2806" s="11">
        <f>SUM(O2807:O2807)</f>
        <v>409.5</v>
      </c>
      <c r="P2806" s="28"/>
      <c r="Q2806" s="185"/>
    </row>
    <row r="2807" spans="1:17" hidden="1" outlineLevel="2">
      <c r="E2807" s="20"/>
      <c r="F2807" s="21"/>
      <c r="G2807" s="34"/>
      <c r="H2807" s="30"/>
      <c r="I2807" s="35"/>
      <c r="J2807" s="25"/>
      <c r="K2807" s="33"/>
      <c r="L2807" s="41"/>
      <c r="M2807" s="33"/>
      <c r="N2807" s="33">
        <v>409.5</v>
      </c>
      <c r="O2807" s="58">
        <f>ROUND(PRODUCT(J2807:N2807),2)</f>
        <v>409.5</v>
      </c>
      <c r="P2807" s="185"/>
      <c r="Q2807" s="185"/>
    </row>
    <row r="2808" spans="1:17" collapsed="1">
      <c r="A2808" s="2">
        <v>7</v>
      </c>
      <c r="B2808" s="2">
        <v>6</v>
      </c>
      <c r="E2808" s="42" t="str">
        <f>CONCATENATE(A2808,".",B2808)</f>
        <v>7.6</v>
      </c>
      <c r="F2808" s="45" t="s">
        <v>4130</v>
      </c>
      <c r="G2808" s="13"/>
      <c r="H2808" s="14" t="s">
        <v>204</v>
      </c>
      <c r="I2808" s="13"/>
      <c r="J2808" s="16"/>
      <c r="K2808" s="17"/>
      <c r="L2808" s="16"/>
      <c r="M2808" s="17"/>
      <c r="N2808" s="18"/>
      <c r="O2808" s="13"/>
      <c r="P2808" s="185"/>
      <c r="Q2808" s="185"/>
    </row>
    <row r="2809" spans="1:17" ht="45" hidden="1" outlineLevel="1">
      <c r="A2809" s="2">
        <v>7</v>
      </c>
      <c r="B2809" s="2">
        <v>6</v>
      </c>
      <c r="C2809" s="2">
        <v>1</v>
      </c>
      <c r="E2809" s="20" t="str">
        <f>CONCATENATE(A2809,".",B2809,".",C2809)</f>
        <v>7.6.1</v>
      </c>
      <c r="F2809" s="21" t="s">
        <v>4131</v>
      </c>
      <c r="G2809" s="22">
        <v>97084</v>
      </c>
      <c r="H2809" s="23" t="s">
        <v>207</v>
      </c>
      <c r="I2809" s="22" t="s">
        <v>45</v>
      </c>
      <c r="J2809" s="32"/>
      <c r="K2809" s="10"/>
      <c r="L2809" s="32"/>
      <c r="M2809" s="10"/>
      <c r="N2809" s="33"/>
      <c r="O2809" s="27">
        <f>SUM(O2810:O2816)</f>
        <v>371.52</v>
      </c>
      <c r="P2809" s="185"/>
      <c r="Q2809" s="185"/>
    </row>
    <row r="2810" spans="1:17" hidden="1" outlineLevel="2">
      <c r="E2810" s="59"/>
      <c r="F2810" s="60"/>
      <c r="G2810" s="34"/>
      <c r="H2810" s="30" t="s">
        <v>3012</v>
      </c>
      <c r="I2810" s="24"/>
      <c r="J2810" s="32"/>
      <c r="K2810" s="33"/>
      <c r="L2810" s="41"/>
      <c r="M2810" s="33"/>
      <c r="N2810" s="33">
        <v>5.63</v>
      </c>
      <c r="O2810" s="58">
        <f t="shared" ref="O2810:O2816" si="73">ROUND(PRODUCT(J2810:N2810),2)</f>
        <v>5.63</v>
      </c>
      <c r="P2810" s="185"/>
      <c r="Q2810" s="185"/>
    </row>
    <row r="2811" spans="1:17" hidden="1" outlineLevel="2">
      <c r="E2811" s="59"/>
      <c r="F2811" s="60"/>
      <c r="G2811" s="34"/>
      <c r="H2811" s="30" t="s">
        <v>3013</v>
      </c>
      <c r="I2811" s="24"/>
      <c r="J2811" s="32"/>
      <c r="K2811" s="33"/>
      <c r="L2811" s="41"/>
      <c r="M2811" s="33"/>
      <c r="N2811" s="33">
        <v>3.66</v>
      </c>
      <c r="O2811" s="58">
        <f t="shared" si="73"/>
        <v>3.66</v>
      </c>
      <c r="P2811" s="185"/>
      <c r="Q2811" s="185"/>
    </row>
    <row r="2812" spans="1:17" hidden="1" outlineLevel="2">
      <c r="E2812" s="59"/>
      <c r="F2812" s="60"/>
      <c r="G2812" s="34"/>
      <c r="H2812" s="30" t="s">
        <v>3041</v>
      </c>
      <c r="I2812" s="24"/>
      <c r="J2812" s="32"/>
      <c r="K2812" s="33"/>
      <c r="L2812" s="41"/>
      <c r="M2812" s="33"/>
      <c r="N2812" s="33">
        <v>6</v>
      </c>
      <c r="O2812" s="58">
        <f t="shared" si="73"/>
        <v>6</v>
      </c>
      <c r="P2812" s="185"/>
      <c r="Q2812" s="185"/>
    </row>
    <row r="2813" spans="1:17" hidden="1" outlineLevel="2">
      <c r="E2813" s="59"/>
      <c r="F2813" s="60"/>
      <c r="G2813" s="34"/>
      <c r="H2813" s="30" t="s">
        <v>4095</v>
      </c>
      <c r="I2813" s="24"/>
      <c r="J2813" s="32"/>
      <c r="K2813" s="33"/>
      <c r="L2813" s="41"/>
      <c r="M2813" s="33"/>
      <c r="N2813" s="33">
        <f>67.6+8.42</f>
        <v>76.02</v>
      </c>
      <c r="O2813" s="58">
        <f t="shared" si="73"/>
        <v>76.02</v>
      </c>
      <c r="P2813" s="185"/>
      <c r="Q2813" s="185"/>
    </row>
    <row r="2814" spans="1:17" hidden="1" outlineLevel="2">
      <c r="E2814" s="59"/>
      <c r="F2814" s="60"/>
      <c r="G2814" s="34"/>
      <c r="H2814" s="30" t="s">
        <v>4117</v>
      </c>
      <c r="I2814" s="24"/>
      <c r="J2814" s="32"/>
      <c r="K2814" s="33"/>
      <c r="L2814" s="41"/>
      <c r="M2814" s="33"/>
      <c r="N2814" s="33">
        <v>210.22</v>
      </c>
      <c r="O2814" s="58">
        <f t="shared" si="73"/>
        <v>210.22</v>
      </c>
      <c r="P2814" s="185"/>
      <c r="Q2814" s="185"/>
    </row>
    <row r="2815" spans="1:17" hidden="1" outlineLevel="2">
      <c r="E2815" s="59"/>
      <c r="F2815" s="60"/>
      <c r="G2815" s="34"/>
      <c r="H2815" s="30" t="s">
        <v>4118</v>
      </c>
      <c r="I2815" s="24"/>
      <c r="J2815" s="32"/>
      <c r="K2815" s="33"/>
      <c r="L2815" s="41"/>
      <c r="M2815" s="33"/>
      <c r="N2815" s="33">
        <v>44.11</v>
      </c>
      <c r="O2815" s="58">
        <f t="shared" si="73"/>
        <v>44.11</v>
      </c>
      <c r="P2815" s="185"/>
      <c r="Q2815" s="185"/>
    </row>
    <row r="2816" spans="1:17" hidden="1" outlineLevel="2">
      <c r="E2816" s="59"/>
      <c r="F2816" s="60"/>
      <c r="G2816" s="34"/>
      <c r="H2816" s="30" t="s">
        <v>4119</v>
      </c>
      <c r="I2816" s="24"/>
      <c r="J2816" s="32"/>
      <c r="K2816" s="33"/>
      <c r="L2816" s="41"/>
      <c r="M2816" s="33"/>
      <c r="N2816" s="33">
        <v>25.88</v>
      </c>
      <c r="O2816" s="58">
        <f t="shared" si="73"/>
        <v>25.88</v>
      </c>
      <c r="P2816" s="185"/>
      <c r="Q2816" s="185"/>
    </row>
    <row r="2817" spans="1:17" ht="30" hidden="1" outlineLevel="1">
      <c r="A2817" s="2">
        <v>7</v>
      </c>
      <c r="B2817" s="2">
        <v>6</v>
      </c>
      <c r="C2817" s="2">
        <f>1+C2809</f>
        <v>2</v>
      </c>
      <c r="E2817" s="20" t="str">
        <f>CONCATENATE(A2817,".",B2817,".",C2817)</f>
        <v>7.6.2</v>
      </c>
      <c r="F2817" s="21" t="s">
        <v>4132</v>
      </c>
      <c r="G2817" s="22">
        <v>97087</v>
      </c>
      <c r="H2817" s="23" t="s">
        <v>210</v>
      </c>
      <c r="I2817" s="22" t="s">
        <v>45</v>
      </c>
      <c r="J2817" s="32"/>
      <c r="K2817" s="10"/>
      <c r="L2817" s="32"/>
      <c r="M2817" s="10"/>
      <c r="N2817" s="33"/>
      <c r="O2817" s="27">
        <f>SUM(O2818:O2824)</f>
        <v>371.52</v>
      </c>
      <c r="P2817" s="185"/>
      <c r="Q2817" s="185"/>
    </row>
    <row r="2818" spans="1:17" hidden="1" outlineLevel="2">
      <c r="E2818" s="59"/>
      <c r="F2818" s="60"/>
      <c r="G2818" s="34"/>
      <c r="H2818" s="30" t="s">
        <v>3012</v>
      </c>
      <c r="I2818" s="24"/>
      <c r="J2818" s="32"/>
      <c r="K2818" s="33"/>
      <c r="L2818" s="41"/>
      <c r="M2818" s="33"/>
      <c r="N2818" s="33">
        <v>5.63</v>
      </c>
      <c r="O2818" s="58">
        <f t="shared" ref="O2818:O2824" si="74">ROUND(PRODUCT(J2818:N2818),2)</f>
        <v>5.63</v>
      </c>
      <c r="P2818" s="185"/>
      <c r="Q2818" s="185"/>
    </row>
    <row r="2819" spans="1:17" hidden="1" outlineLevel="2">
      <c r="E2819" s="59"/>
      <c r="F2819" s="60"/>
      <c r="G2819" s="34"/>
      <c r="H2819" s="30" t="s">
        <v>3013</v>
      </c>
      <c r="I2819" s="24"/>
      <c r="J2819" s="32"/>
      <c r="K2819" s="33"/>
      <c r="L2819" s="41"/>
      <c r="M2819" s="33"/>
      <c r="N2819" s="33">
        <v>3.66</v>
      </c>
      <c r="O2819" s="58">
        <f t="shared" si="74"/>
        <v>3.66</v>
      </c>
      <c r="P2819" s="185"/>
      <c r="Q2819" s="185"/>
    </row>
    <row r="2820" spans="1:17" hidden="1" outlineLevel="2">
      <c r="E2820" s="59"/>
      <c r="F2820" s="60"/>
      <c r="G2820" s="34"/>
      <c r="H2820" s="30" t="s">
        <v>3041</v>
      </c>
      <c r="I2820" s="24"/>
      <c r="J2820" s="32"/>
      <c r="K2820" s="33"/>
      <c r="L2820" s="41"/>
      <c r="M2820" s="33"/>
      <c r="N2820" s="33">
        <v>6</v>
      </c>
      <c r="O2820" s="58">
        <f t="shared" si="74"/>
        <v>6</v>
      </c>
      <c r="P2820" s="185"/>
      <c r="Q2820" s="185"/>
    </row>
    <row r="2821" spans="1:17" hidden="1" outlineLevel="2">
      <c r="E2821" s="59"/>
      <c r="F2821" s="60"/>
      <c r="G2821" s="34"/>
      <c r="H2821" s="30" t="s">
        <v>4095</v>
      </c>
      <c r="I2821" s="24"/>
      <c r="J2821" s="32"/>
      <c r="K2821" s="33"/>
      <c r="L2821" s="41"/>
      <c r="M2821" s="33"/>
      <c r="N2821" s="33">
        <f>67.6+8.42</f>
        <v>76.02</v>
      </c>
      <c r="O2821" s="58">
        <f t="shared" si="74"/>
        <v>76.02</v>
      </c>
      <c r="P2821" s="185"/>
      <c r="Q2821" s="185"/>
    </row>
    <row r="2822" spans="1:17" hidden="1" outlineLevel="2">
      <c r="E2822" s="59"/>
      <c r="F2822" s="60"/>
      <c r="G2822" s="34"/>
      <c r="H2822" s="30" t="s">
        <v>4117</v>
      </c>
      <c r="I2822" s="24"/>
      <c r="J2822" s="32"/>
      <c r="K2822" s="33"/>
      <c r="L2822" s="41"/>
      <c r="M2822" s="33"/>
      <c r="N2822" s="33">
        <v>210.22</v>
      </c>
      <c r="O2822" s="58">
        <f t="shared" si="74"/>
        <v>210.22</v>
      </c>
      <c r="P2822" s="185"/>
      <c r="Q2822" s="185"/>
    </row>
    <row r="2823" spans="1:17" hidden="1" outlineLevel="2">
      <c r="E2823" s="59"/>
      <c r="F2823" s="60"/>
      <c r="G2823" s="34"/>
      <c r="H2823" s="30" t="s">
        <v>4118</v>
      </c>
      <c r="I2823" s="24"/>
      <c r="J2823" s="32"/>
      <c r="K2823" s="33"/>
      <c r="L2823" s="41"/>
      <c r="M2823" s="33"/>
      <c r="N2823" s="33">
        <v>44.11</v>
      </c>
      <c r="O2823" s="58">
        <f t="shared" si="74"/>
        <v>44.11</v>
      </c>
      <c r="P2823" s="185"/>
      <c r="Q2823" s="185"/>
    </row>
    <row r="2824" spans="1:17" hidden="1" outlineLevel="2">
      <c r="E2824" s="59"/>
      <c r="F2824" s="60"/>
      <c r="G2824" s="34"/>
      <c r="H2824" s="30" t="s">
        <v>4119</v>
      </c>
      <c r="I2824" s="24"/>
      <c r="J2824" s="32"/>
      <c r="K2824" s="33"/>
      <c r="L2824" s="41"/>
      <c r="M2824" s="33"/>
      <c r="N2824" s="33">
        <v>25.88</v>
      </c>
      <c r="O2824" s="58">
        <f t="shared" si="74"/>
        <v>25.88</v>
      </c>
      <c r="P2824" s="185"/>
      <c r="Q2824" s="185"/>
    </row>
    <row r="2825" spans="1:17" ht="30" hidden="1" outlineLevel="1">
      <c r="A2825" s="2">
        <v>7</v>
      </c>
      <c r="B2825" s="2">
        <v>6</v>
      </c>
      <c r="C2825" s="2">
        <f>1+C2817</f>
        <v>3</v>
      </c>
      <c r="E2825" s="20" t="str">
        <f>CONCATENATE(A2825,".",B2825,".",C2825)</f>
        <v>7.6.3</v>
      </c>
      <c r="F2825" s="21" t="s">
        <v>4133</v>
      </c>
      <c r="G2825" s="22" t="s">
        <v>212</v>
      </c>
      <c r="H2825" s="23" t="s">
        <v>213</v>
      </c>
      <c r="I2825" s="24" t="s">
        <v>45</v>
      </c>
      <c r="J2825" s="32"/>
      <c r="K2825" s="10"/>
      <c r="L2825" s="32"/>
      <c r="M2825" s="10"/>
      <c r="N2825" s="33"/>
      <c r="O2825" s="11">
        <f>SUM(O2826:O2832)</f>
        <v>371.52</v>
      </c>
      <c r="P2825" s="185"/>
      <c r="Q2825" s="185"/>
    </row>
    <row r="2826" spans="1:17" hidden="1" outlineLevel="2">
      <c r="E2826" s="59"/>
      <c r="F2826" s="60"/>
      <c r="G2826" s="34"/>
      <c r="H2826" s="30" t="s">
        <v>3012</v>
      </c>
      <c r="I2826" s="24"/>
      <c r="J2826" s="32"/>
      <c r="K2826" s="33"/>
      <c r="L2826" s="41"/>
      <c r="M2826" s="33"/>
      <c r="N2826" s="33">
        <v>5.63</v>
      </c>
      <c r="O2826" s="58">
        <f t="shared" ref="O2826:O2832" si="75">ROUND(PRODUCT(J2826:N2826),2)</f>
        <v>5.63</v>
      </c>
      <c r="P2826" s="185"/>
      <c r="Q2826" s="185"/>
    </row>
    <row r="2827" spans="1:17" hidden="1" outlineLevel="2">
      <c r="E2827" s="59"/>
      <c r="F2827" s="60"/>
      <c r="G2827" s="34"/>
      <c r="H2827" s="30" t="s">
        <v>3013</v>
      </c>
      <c r="I2827" s="24"/>
      <c r="J2827" s="32"/>
      <c r="K2827" s="33"/>
      <c r="L2827" s="41"/>
      <c r="M2827" s="33"/>
      <c r="N2827" s="33">
        <v>3.66</v>
      </c>
      <c r="O2827" s="58">
        <f t="shared" si="75"/>
        <v>3.66</v>
      </c>
      <c r="P2827" s="185"/>
      <c r="Q2827" s="185"/>
    </row>
    <row r="2828" spans="1:17" hidden="1" outlineLevel="2">
      <c r="E2828" s="59"/>
      <c r="F2828" s="60"/>
      <c r="G2828" s="34"/>
      <c r="H2828" s="30" t="s">
        <v>3041</v>
      </c>
      <c r="I2828" s="24"/>
      <c r="J2828" s="32"/>
      <c r="K2828" s="33"/>
      <c r="L2828" s="41"/>
      <c r="M2828" s="33"/>
      <c r="N2828" s="33">
        <v>6</v>
      </c>
      <c r="O2828" s="58">
        <f t="shared" si="75"/>
        <v>6</v>
      </c>
      <c r="P2828" s="185"/>
      <c r="Q2828" s="185"/>
    </row>
    <row r="2829" spans="1:17" hidden="1" outlineLevel="2">
      <c r="E2829" s="59"/>
      <c r="F2829" s="60"/>
      <c r="G2829" s="34"/>
      <c r="H2829" s="30" t="s">
        <v>4095</v>
      </c>
      <c r="I2829" s="24"/>
      <c r="J2829" s="32"/>
      <c r="K2829" s="33"/>
      <c r="L2829" s="41"/>
      <c r="M2829" s="33"/>
      <c r="N2829" s="33">
        <f>67.6+8.42</f>
        <v>76.02</v>
      </c>
      <c r="O2829" s="58">
        <f t="shared" si="75"/>
        <v>76.02</v>
      </c>
      <c r="P2829" s="185"/>
      <c r="Q2829" s="185"/>
    </row>
    <row r="2830" spans="1:17" hidden="1" outlineLevel="2">
      <c r="E2830" s="59"/>
      <c r="F2830" s="60"/>
      <c r="G2830" s="34"/>
      <c r="H2830" s="30" t="s">
        <v>4117</v>
      </c>
      <c r="I2830" s="24"/>
      <c r="J2830" s="32"/>
      <c r="K2830" s="33"/>
      <c r="L2830" s="41"/>
      <c r="M2830" s="33"/>
      <c r="N2830" s="33">
        <v>210.22</v>
      </c>
      <c r="O2830" s="58">
        <f t="shared" si="75"/>
        <v>210.22</v>
      </c>
      <c r="P2830" s="185"/>
      <c r="Q2830" s="185"/>
    </row>
    <row r="2831" spans="1:17" hidden="1" outlineLevel="2">
      <c r="E2831" s="59"/>
      <c r="F2831" s="60"/>
      <c r="G2831" s="34"/>
      <c r="H2831" s="30" t="s">
        <v>4118</v>
      </c>
      <c r="I2831" s="24"/>
      <c r="J2831" s="32"/>
      <c r="K2831" s="33"/>
      <c r="L2831" s="41"/>
      <c r="M2831" s="33"/>
      <c r="N2831" s="33">
        <v>44.11</v>
      </c>
      <c r="O2831" s="58">
        <f t="shared" si="75"/>
        <v>44.11</v>
      </c>
      <c r="P2831" s="185"/>
      <c r="Q2831" s="185"/>
    </row>
    <row r="2832" spans="1:17" hidden="1" outlineLevel="2">
      <c r="E2832" s="59"/>
      <c r="F2832" s="60"/>
      <c r="G2832" s="34"/>
      <c r="H2832" s="30" t="s">
        <v>4119</v>
      </c>
      <c r="I2832" s="24"/>
      <c r="J2832" s="32"/>
      <c r="K2832" s="33"/>
      <c r="L2832" s="41"/>
      <c r="M2832" s="33"/>
      <c r="N2832" s="33">
        <v>25.88</v>
      </c>
      <c r="O2832" s="58">
        <f t="shared" si="75"/>
        <v>25.88</v>
      </c>
      <c r="P2832" s="185"/>
      <c r="Q2832" s="185"/>
    </row>
    <row r="2833" spans="1:17" ht="45" hidden="1" outlineLevel="1">
      <c r="A2833" s="2">
        <v>7</v>
      </c>
      <c r="B2833" s="2">
        <v>6</v>
      </c>
      <c r="C2833" s="2" t="e">
        <f>1+#REF!</f>
        <v>#REF!</v>
      </c>
      <c r="E2833" s="20" t="e">
        <f>CONCATENATE(A2833,".",B2833,".",C2833)</f>
        <v>#REF!</v>
      </c>
      <c r="F2833" s="21" t="s">
        <v>4134</v>
      </c>
      <c r="G2833" s="22" t="s">
        <v>218</v>
      </c>
      <c r="H2833" s="23" t="s">
        <v>219</v>
      </c>
      <c r="I2833" s="24" t="s">
        <v>45</v>
      </c>
      <c r="J2833" s="32"/>
      <c r="K2833" s="10"/>
      <c r="L2833" s="32"/>
      <c r="M2833" s="10"/>
      <c r="N2833" s="33"/>
      <c r="O2833" s="11">
        <f>SUM(O2834:O2840)</f>
        <v>371.52</v>
      </c>
      <c r="P2833" s="185"/>
      <c r="Q2833" s="185"/>
    </row>
    <row r="2834" spans="1:17" hidden="1" outlineLevel="2">
      <c r="E2834" s="59"/>
      <c r="F2834" s="60"/>
      <c r="G2834" s="34"/>
      <c r="H2834" s="30" t="s">
        <v>3012</v>
      </c>
      <c r="I2834" s="24"/>
      <c r="J2834" s="32"/>
      <c r="K2834" s="33"/>
      <c r="L2834" s="41"/>
      <c r="M2834" s="33"/>
      <c r="N2834" s="33">
        <v>5.63</v>
      </c>
      <c r="O2834" s="58">
        <f t="shared" ref="O2834:O2840" si="76">ROUND(PRODUCT(J2834:N2834),2)</f>
        <v>5.63</v>
      </c>
      <c r="P2834" s="185"/>
      <c r="Q2834" s="185"/>
    </row>
    <row r="2835" spans="1:17" hidden="1" outlineLevel="2">
      <c r="E2835" s="59"/>
      <c r="F2835" s="60"/>
      <c r="G2835" s="34"/>
      <c r="H2835" s="30" t="s">
        <v>3013</v>
      </c>
      <c r="I2835" s="24"/>
      <c r="J2835" s="32"/>
      <c r="K2835" s="33"/>
      <c r="L2835" s="41"/>
      <c r="M2835" s="33"/>
      <c r="N2835" s="33">
        <v>3.66</v>
      </c>
      <c r="O2835" s="58">
        <f t="shared" si="76"/>
        <v>3.66</v>
      </c>
      <c r="P2835" s="185"/>
      <c r="Q2835" s="185"/>
    </row>
    <row r="2836" spans="1:17" hidden="1" outlineLevel="2">
      <c r="E2836" s="59"/>
      <c r="F2836" s="60"/>
      <c r="G2836" s="34"/>
      <c r="H2836" s="30" t="s">
        <v>3041</v>
      </c>
      <c r="I2836" s="24"/>
      <c r="J2836" s="32"/>
      <c r="K2836" s="33"/>
      <c r="L2836" s="41"/>
      <c r="M2836" s="33"/>
      <c r="N2836" s="33">
        <v>6</v>
      </c>
      <c r="O2836" s="58">
        <f t="shared" si="76"/>
        <v>6</v>
      </c>
      <c r="P2836" s="185"/>
      <c r="Q2836" s="185"/>
    </row>
    <row r="2837" spans="1:17" hidden="1" outlineLevel="2">
      <c r="E2837" s="59"/>
      <c r="F2837" s="60"/>
      <c r="G2837" s="34"/>
      <c r="H2837" s="30" t="s">
        <v>4095</v>
      </c>
      <c r="I2837" s="24"/>
      <c r="J2837" s="32"/>
      <c r="K2837" s="33"/>
      <c r="L2837" s="41"/>
      <c r="M2837" s="33"/>
      <c r="N2837" s="33">
        <f>67.6+8.42</f>
        <v>76.02</v>
      </c>
      <c r="O2837" s="58">
        <f t="shared" si="76"/>
        <v>76.02</v>
      </c>
      <c r="P2837" s="185"/>
      <c r="Q2837" s="185"/>
    </row>
    <row r="2838" spans="1:17" hidden="1" outlineLevel="2">
      <c r="E2838" s="59"/>
      <c r="F2838" s="60"/>
      <c r="G2838" s="34"/>
      <c r="H2838" s="30" t="s">
        <v>4117</v>
      </c>
      <c r="I2838" s="24"/>
      <c r="J2838" s="32"/>
      <c r="K2838" s="33"/>
      <c r="L2838" s="41"/>
      <c r="M2838" s="33"/>
      <c r="N2838" s="33">
        <v>210.22</v>
      </c>
      <c r="O2838" s="58">
        <f t="shared" si="76"/>
        <v>210.22</v>
      </c>
      <c r="P2838" s="185"/>
      <c r="Q2838" s="185"/>
    </row>
    <row r="2839" spans="1:17" hidden="1" outlineLevel="2">
      <c r="E2839" s="59"/>
      <c r="F2839" s="60"/>
      <c r="G2839" s="34"/>
      <c r="H2839" s="30" t="s">
        <v>4118</v>
      </c>
      <c r="I2839" s="24"/>
      <c r="J2839" s="32"/>
      <c r="K2839" s="33"/>
      <c r="L2839" s="41"/>
      <c r="M2839" s="33"/>
      <c r="N2839" s="33">
        <v>44.11</v>
      </c>
      <c r="O2839" s="58">
        <f t="shared" si="76"/>
        <v>44.11</v>
      </c>
      <c r="P2839" s="185"/>
      <c r="Q2839" s="185"/>
    </row>
    <row r="2840" spans="1:17" hidden="1" outlineLevel="2">
      <c r="E2840" s="59"/>
      <c r="F2840" s="60"/>
      <c r="G2840" s="34"/>
      <c r="H2840" s="30" t="s">
        <v>4119</v>
      </c>
      <c r="I2840" s="24"/>
      <c r="J2840" s="32"/>
      <c r="K2840" s="33"/>
      <c r="L2840" s="41"/>
      <c r="M2840" s="33"/>
      <c r="N2840" s="33">
        <v>25.88</v>
      </c>
      <c r="O2840" s="58">
        <f t="shared" si="76"/>
        <v>25.88</v>
      </c>
      <c r="P2840" s="185"/>
      <c r="Q2840" s="185"/>
    </row>
    <row r="2841" spans="1:17" ht="45" hidden="1" outlineLevel="1">
      <c r="A2841" s="2">
        <v>7</v>
      </c>
      <c r="B2841" s="2">
        <v>6</v>
      </c>
      <c r="C2841" s="2" t="e">
        <f>1+C2833</f>
        <v>#REF!</v>
      </c>
      <c r="E2841" s="20" t="e">
        <f>CONCATENATE(A2841,".",B2841,".",C2841)</f>
        <v>#REF!</v>
      </c>
      <c r="F2841" s="21" t="s">
        <v>4135</v>
      </c>
      <c r="G2841" s="22" t="s">
        <v>1312</v>
      </c>
      <c r="H2841" s="23" t="s">
        <v>4136</v>
      </c>
      <c r="I2841" s="24" t="s">
        <v>45</v>
      </c>
      <c r="J2841" s="32"/>
      <c r="K2841" s="10"/>
      <c r="L2841" s="32"/>
      <c r="M2841" s="10"/>
      <c r="N2841" s="33"/>
      <c r="O2841" s="11">
        <f>SUM(O2842:O2842)</f>
        <v>3.66</v>
      </c>
      <c r="P2841" s="185"/>
      <c r="Q2841" s="185"/>
    </row>
    <row r="2842" spans="1:17" hidden="1" outlineLevel="2">
      <c r="E2842" s="59"/>
      <c r="F2842" s="60"/>
      <c r="G2842" s="34"/>
      <c r="H2842" s="30" t="s">
        <v>3013</v>
      </c>
      <c r="I2842" s="24"/>
      <c r="J2842" s="32"/>
      <c r="K2842" s="33"/>
      <c r="L2842" s="41"/>
      <c r="M2842" s="33"/>
      <c r="N2842" s="33">
        <v>3.66</v>
      </c>
      <c r="O2842" s="58">
        <f>ROUND(PRODUCT(J2842:N2842),2)</f>
        <v>3.66</v>
      </c>
      <c r="P2842" s="185"/>
      <c r="Q2842" s="185"/>
    </row>
    <row r="2843" spans="1:17" ht="45" hidden="1" outlineLevel="1">
      <c r="A2843" s="2">
        <v>7</v>
      </c>
      <c r="B2843" s="2">
        <v>6</v>
      </c>
      <c r="C2843" s="2" t="e">
        <f>1+C2841</f>
        <v>#REF!</v>
      </c>
      <c r="E2843" s="20" t="e">
        <f>CONCATENATE(A2843,".",B2843,".",C2843)</f>
        <v>#REF!</v>
      </c>
      <c r="F2843" s="21" t="s">
        <v>4137</v>
      </c>
      <c r="G2843" s="22" t="s">
        <v>1315</v>
      </c>
      <c r="H2843" s="23" t="s">
        <v>4138</v>
      </c>
      <c r="I2843" s="24" t="s">
        <v>45</v>
      </c>
      <c r="J2843" s="32"/>
      <c r="K2843" s="10"/>
      <c r="L2843" s="32"/>
      <c r="M2843" s="10"/>
      <c r="N2843" s="33"/>
      <c r="O2843" s="11">
        <f>SUM(O2844:O2845)</f>
        <v>11.629999999999999</v>
      </c>
      <c r="P2843" s="185"/>
      <c r="Q2843" s="185"/>
    </row>
    <row r="2844" spans="1:17" hidden="1" outlineLevel="2">
      <c r="E2844" s="59"/>
      <c r="F2844" s="60"/>
      <c r="G2844" s="34"/>
      <c r="H2844" s="30" t="s">
        <v>3012</v>
      </c>
      <c r="I2844" s="24"/>
      <c r="J2844" s="32"/>
      <c r="K2844" s="33"/>
      <c r="L2844" s="41"/>
      <c r="M2844" s="33"/>
      <c r="N2844" s="33">
        <v>5.63</v>
      </c>
      <c r="O2844" s="58">
        <f>ROUND(PRODUCT(J2844:N2844),2)</f>
        <v>5.63</v>
      </c>
      <c r="P2844" s="185"/>
      <c r="Q2844" s="185"/>
    </row>
    <row r="2845" spans="1:17" hidden="1" outlineLevel="2">
      <c r="E2845" s="59"/>
      <c r="F2845" s="60"/>
      <c r="G2845" s="34"/>
      <c r="H2845" s="30" t="s">
        <v>3041</v>
      </c>
      <c r="I2845" s="24"/>
      <c r="J2845" s="32"/>
      <c r="K2845" s="33"/>
      <c r="L2845" s="41"/>
      <c r="M2845" s="33"/>
      <c r="N2845" s="33">
        <v>6</v>
      </c>
      <c r="O2845" s="58">
        <f>ROUND(PRODUCT(J2845:N2845),2)</f>
        <v>6</v>
      </c>
      <c r="P2845" s="185"/>
      <c r="Q2845" s="185"/>
    </row>
    <row r="2846" spans="1:17" ht="45" hidden="1" outlineLevel="1">
      <c r="A2846" s="2">
        <v>7</v>
      </c>
      <c r="B2846" s="2">
        <v>6</v>
      </c>
      <c r="C2846" s="2" t="e">
        <f>1+C2843</f>
        <v>#REF!</v>
      </c>
      <c r="E2846" s="20" t="e">
        <f>CONCATENATE(A2846,".",B2846,".",C2846)</f>
        <v>#REF!</v>
      </c>
      <c r="F2846" s="21" t="s">
        <v>4139</v>
      </c>
      <c r="G2846" s="22" t="s">
        <v>227</v>
      </c>
      <c r="H2846" s="23" t="s">
        <v>3040</v>
      </c>
      <c r="I2846" s="24" t="s">
        <v>45</v>
      </c>
      <c r="J2846" s="32"/>
      <c r="K2846" s="10"/>
      <c r="L2846" s="32"/>
      <c r="M2846" s="10"/>
      <c r="N2846" s="33"/>
      <c r="O2846" s="11">
        <f>SUM(O2847:O2850)</f>
        <v>356.23</v>
      </c>
      <c r="P2846" s="185"/>
      <c r="Q2846" s="185"/>
    </row>
    <row r="2847" spans="1:17" hidden="1" outlineLevel="2">
      <c r="E2847" s="59"/>
      <c r="F2847" s="60"/>
      <c r="G2847" s="34"/>
      <c r="H2847" s="30" t="s">
        <v>4095</v>
      </c>
      <c r="I2847" s="24"/>
      <c r="J2847" s="32"/>
      <c r="K2847" s="33"/>
      <c r="L2847" s="41"/>
      <c r="M2847" s="33"/>
      <c r="N2847" s="33">
        <f>67.6+8.42</f>
        <v>76.02</v>
      </c>
      <c r="O2847" s="58">
        <f>ROUND(PRODUCT(J2847:N2847),2)</f>
        <v>76.02</v>
      </c>
      <c r="P2847" s="185"/>
      <c r="Q2847" s="185"/>
    </row>
    <row r="2848" spans="1:17" hidden="1" outlineLevel="2">
      <c r="E2848" s="59"/>
      <c r="F2848" s="60"/>
      <c r="G2848" s="34"/>
      <c r="H2848" s="30" t="s">
        <v>4117</v>
      </c>
      <c r="I2848" s="24"/>
      <c r="J2848" s="32"/>
      <c r="K2848" s="33"/>
      <c r="L2848" s="41"/>
      <c r="M2848" s="33"/>
      <c r="N2848" s="33">
        <v>210.22</v>
      </c>
      <c r="O2848" s="58">
        <f>ROUND(PRODUCT(J2848:N2848),2)</f>
        <v>210.22</v>
      </c>
      <c r="P2848" s="185"/>
      <c r="Q2848" s="185"/>
    </row>
    <row r="2849" spans="1:17" hidden="1" outlineLevel="2">
      <c r="E2849" s="59"/>
      <c r="F2849" s="60"/>
      <c r="G2849" s="34"/>
      <c r="H2849" s="30" t="s">
        <v>4118</v>
      </c>
      <c r="I2849" s="24"/>
      <c r="J2849" s="32"/>
      <c r="K2849" s="33"/>
      <c r="L2849" s="41"/>
      <c r="M2849" s="33"/>
      <c r="N2849" s="33">
        <v>44.11</v>
      </c>
      <c r="O2849" s="58">
        <f>ROUND(PRODUCT(J2849:N2849),2)</f>
        <v>44.11</v>
      </c>
      <c r="P2849" s="185"/>
      <c r="Q2849" s="185"/>
    </row>
    <row r="2850" spans="1:17" hidden="1" outlineLevel="2">
      <c r="E2850" s="59"/>
      <c r="F2850" s="60"/>
      <c r="G2850" s="34"/>
      <c r="H2850" s="30" t="s">
        <v>4119</v>
      </c>
      <c r="I2850" s="24"/>
      <c r="J2850" s="32"/>
      <c r="K2850" s="33"/>
      <c r="L2850" s="41"/>
      <c r="M2850" s="33"/>
      <c r="N2850" s="33">
        <v>25.88</v>
      </c>
      <c r="O2850" s="58">
        <f>ROUND(PRODUCT(J2850:N2850),2)</f>
        <v>25.88</v>
      </c>
      <c r="P2850" s="185"/>
      <c r="Q2850" s="185"/>
    </row>
    <row r="2851" spans="1:17" ht="30" hidden="1" outlineLevel="1">
      <c r="A2851" s="2">
        <v>7</v>
      </c>
      <c r="B2851" s="2">
        <v>6</v>
      </c>
      <c r="C2851" s="2" t="e">
        <f>1+#REF!</f>
        <v>#REF!</v>
      </c>
      <c r="E2851" s="20" t="e">
        <f>CONCATENATE(A2851,".",B2851,".",C2851)</f>
        <v>#REF!</v>
      </c>
      <c r="F2851" s="21" t="s">
        <v>4140</v>
      </c>
      <c r="G2851" s="22" t="s">
        <v>233</v>
      </c>
      <c r="H2851" s="23" t="s">
        <v>234</v>
      </c>
      <c r="I2851" s="24" t="s">
        <v>144</v>
      </c>
      <c r="J2851" s="32"/>
      <c r="K2851" s="10"/>
      <c r="L2851" s="32"/>
      <c r="M2851" s="10"/>
      <c r="N2851" s="33"/>
      <c r="O2851" s="11">
        <f>SUM(O2852:O2852)</f>
        <v>4.66</v>
      </c>
      <c r="P2851" s="185"/>
      <c r="Q2851" s="185"/>
    </row>
    <row r="2852" spans="1:17" hidden="1" outlineLevel="2">
      <c r="E2852" s="59"/>
      <c r="F2852" s="60"/>
      <c r="G2852" s="34"/>
      <c r="H2852" s="30" t="s">
        <v>3057</v>
      </c>
      <c r="I2852" s="24"/>
      <c r="J2852" s="32"/>
      <c r="K2852" s="33">
        <v>4.66</v>
      </c>
      <c r="L2852" s="41"/>
      <c r="M2852" s="33"/>
      <c r="N2852" s="33">
        <v>1</v>
      </c>
      <c r="O2852" s="58">
        <f>ROUND(PRODUCT(J2852:N2852),2)</f>
        <v>4.66</v>
      </c>
      <c r="P2852" s="185"/>
      <c r="Q2852" s="185"/>
    </row>
    <row r="2853" spans="1:17" hidden="1" outlineLevel="1">
      <c r="A2853" s="2">
        <v>7</v>
      </c>
      <c r="B2853" s="2">
        <v>6</v>
      </c>
      <c r="C2853" s="2" t="e">
        <f>1+C2851</f>
        <v>#REF!</v>
      </c>
      <c r="E2853" s="20" t="e">
        <f>CONCATENATE(A2853,".",B2853,".",C2853)</f>
        <v>#REF!</v>
      </c>
      <c r="F2853" s="21" t="s">
        <v>4141</v>
      </c>
      <c r="G2853" s="22" t="s">
        <v>236</v>
      </c>
      <c r="H2853" s="23" t="s">
        <v>237</v>
      </c>
      <c r="I2853" s="24" t="s">
        <v>144</v>
      </c>
      <c r="J2853" s="32"/>
      <c r="K2853" s="10"/>
      <c r="L2853" s="32"/>
      <c r="M2853" s="10"/>
      <c r="N2853" s="33"/>
      <c r="O2853" s="11">
        <f>SUM(O2854:O2856)</f>
        <v>16.649999999999999</v>
      </c>
      <c r="P2853" s="185"/>
      <c r="Q2853" s="185"/>
    </row>
    <row r="2854" spans="1:17" hidden="1" outlineLevel="2">
      <c r="E2854" s="59"/>
      <c r="F2854" s="60"/>
      <c r="G2854" s="34"/>
      <c r="H2854" s="30" t="s">
        <v>3628</v>
      </c>
      <c r="I2854" s="24"/>
      <c r="J2854" s="32"/>
      <c r="K2854" s="33">
        <v>0.95</v>
      </c>
      <c r="L2854" s="41"/>
      <c r="M2854" s="33"/>
      <c r="N2854" s="33">
        <v>3</v>
      </c>
      <c r="O2854" s="58">
        <f>ROUND(PRODUCT(J2854:N2854),2)</f>
        <v>2.85</v>
      </c>
      <c r="P2854" s="185"/>
      <c r="Q2854" s="185"/>
    </row>
    <row r="2855" spans="1:17" hidden="1" outlineLevel="2">
      <c r="E2855" s="59"/>
      <c r="F2855" s="60"/>
      <c r="G2855" s="34"/>
      <c r="H2855" s="30" t="s">
        <v>4102</v>
      </c>
      <c r="I2855" s="24"/>
      <c r="J2855" s="32"/>
      <c r="K2855" s="33">
        <v>1.65</v>
      </c>
      <c r="L2855" s="41"/>
      <c r="M2855" s="33"/>
      <c r="N2855" s="33">
        <v>7</v>
      </c>
      <c r="O2855" s="58">
        <f>ROUND(PRODUCT(J2855:N2855),2)</f>
        <v>11.55</v>
      </c>
      <c r="P2855" s="185"/>
      <c r="Q2855" s="185"/>
    </row>
    <row r="2856" spans="1:17" hidden="1" outlineLevel="2">
      <c r="E2856" s="59"/>
      <c r="F2856" s="60"/>
      <c r="G2856" s="34"/>
      <c r="H2856" s="30" t="s">
        <v>4103</v>
      </c>
      <c r="I2856" s="24"/>
      <c r="J2856" s="32"/>
      <c r="K2856" s="33">
        <v>2.25</v>
      </c>
      <c r="L2856" s="41"/>
      <c r="M2856" s="33"/>
      <c r="N2856" s="33">
        <v>1</v>
      </c>
      <c r="O2856" s="58">
        <f>ROUND(PRODUCT(J2856:N2856),2)</f>
        <v>2.25</v>
      </c>
      <c r="P2856" s="185"/>
      <c r="Q2856" s="185"/>
    </row>
    <row r="2857" spans="1:17" collapsed="1">
      <c r="A2857" s="2">
        <v>7</v>
      </c>
      <c r="B2857" s="2">
        <v>7</v>
      </c>
      <c r="E2857" s="42" t="str">
        <f>CONCATENATE(A2857,".",B2857)</f>
        <v>7.7</v>
      </c>
      <c r="F2857" s="45" t="s">
        <v>4142</v>
      </c>
      <c r="G2857" s="13"/>
      <c r="H2857" s="14" t="s">
        <v>257</v>
      </c>
      <c r="I2857" s="15"/>
      <c r="J2857" s="16"/>
      <c r="K2857" s="17"/>
      <c r="L2857" s="16"/>
      <c r="M2857" s="17"/>
      <c r="N2857" s="18"/>
      <c r="O2857" s="19"/>
      <c r="P2857" s="185"/>
      <c r="Q2857" s="185"/>
    </row>
    <row r="2858" spans="1:17" ht="45" hidden="1" outlineLevel="1">
      <c r="A2858" s="2">
        <v>7</v>
      </c>
      <c r="B2858" s="2">
        <v>7</v>
      </c>
      <c r="C2858" s="2">
        <f>1+C2857</f>
        <v>1</v>
      </c>
      <c r="E2858" s="20" t="str">
        <f>CONCATENATE(A2858,".",B2858,".",C2858)</f>
        <v>7.7.1</v>
      </c>
      <c r="F2858" s="21" t="s">
        <v>4143</v>
      </c>
      <c r="G2858" s="22" t="s">
        <v>259</v>
      </c>
      <c r="H2858" s="23" t="s">
        <v>3067</v>
      </c>
      <c r="I2858" s="24" t="s">
        <v>45</v>
      </c>
      <c r="J2858" s="32"/>
      <c r="K2858" s="10"/>
      <c r="L2858" s="32"/>
      <c r="M2858" s="10"/>
      <c r="N2858" s="33"/>
      <c r="O2858" s="11">
        <f>SUM(O2859:O2872)</f>
        <v>877.65000000000009</v>
      </c>
      <c r="P2858" s="185"/>
      <c r="Q2858" s="185"/>
    </row>
    <row r="2859" spans="1:17" hidden="1" outlineLevel="2">
      <c r="E2859" s="59"/>
      <c r="F2859" s="60"/>
      <c r="G2859" s="34"/>
      <c r="H2859" s="30" t="s">
        <v>4121</v>
      </c>
      <c r="I2859" s="24"/>
      <c r="J2859" s="58"/>
      <c r="K2859" s="33">
        <v>9.75</v>
      </c>
      <c r="L2859" s="41"/>
      <c r="M2859" s="33">
        <v>4.18</v>
      </c>
      <c r="N2859" s="33"/>
      <c r="O2859" s="58">
        <f t="shared" ref="O2859:O2872" si="77">ROUND(PRODUCT(J2859:N2859),2)</f>
        <v>40.76</v>
      </c>
    </row>
    <row r="2860" spans="1:17" hidden="1" outlineLevel="2">
      <c r="E2860" s="59"/>
      <c r="F2860" s="60"/>
      <c r="G2860" s="34"/>
      <c r="H2860" s="30" t="str">
        <f>_xlfn.CONCAT(H2859," - VÃO")</f>
        <v>WC FEM - PAREDE - VÃO</v>
      </c>
      <c r="I2860" s="24"/>
      <c r="J2860" s="58">
        <v>-1</v>
      </c>
      <c r="K2860" s="33">
        <v>0.9</v>
      </c>
      <c r="L2860" s="41"/>
      <c r="M2860" s="33">
        <v>2.1</v>
      </c>
      <c r="N2860" s="33"/>
      <c r="O2860" s="58">
        <f t="shared" si="77"/>
        <v>-1.89</v>
      </c>
    </row>
    <row r="2861" spans="1:17" hidden="1" outlineLevel="2">
      <c r="E2861" s="59"/>
      <c r="F2861" s="60"/>
      <c r="G2861" s="34"/>
      <c r="H2861" s="30" t="s">
        <v>4122</v>
      </c>
      <c r="I2861" s="24"/>
      <c r="J2861" s="58"/>
      <c r="K2861" s="33">
        <v>7.65</v>
      </c>
      <c r="L2861" s="41"/>
      <c r="M2861" s="33">
        <v>4.18</v>
      </c>
      <c r="N2861" s="33"/>
      <c r="O2861" s="58">
        <f t="shared" si="77"/>
        <v>31.98</v>
      </c>
    </row>
    <row r="2862" spans="1:17" hidden="1" outlineLevel="2">
      <c r="E2862" s="59"/>
      <c r="F2862" s="60"/>
      <c r="G2862" s="34"/>
      <c r="H2862" s="30" t="str">
        <f>_xlfn.CONCAT(H2861," - VÃO")</f>
        <v>WC PCD  - PAREDE - VÃO</v>
      </c>
      <c r="I2862" s="24"/>
      <c r="J2862" s="58">
        <v>-1</v>
      </c>
      <c r="K2862" s="33">
        <v>0.9</v>
      </c>
      <c r="L2862" s="41"/>
      <c r="M2862" s="33">
        <v>2.1</v>
      </c>
      <c r="N2862" s="33"/>
      <c r="O2862" s="58">
        <f t="shared" si="77"/>
        <v>-1.89</v>
      </c>
    </row>
    <row r="2863" spans="1:17" hidden="1" outlineLevel="2">
      <c r="E2863" s="59"/>
      <c r="F2863" s="60"/>
      <c r="G2863" s="34"/>
      <c r="H2863" s="30" t="s">
        <v>4123</v>
      </c>
      <c r="I2863" s="24"/>
      <c r="J2863" s="58"/>
      <c r="K2863" s="33">
        <v>10.15</v>
      </c>
      <c r="L2863" s="41"/>
      <c r="M2863" s="33">
        <v>4.18</v>
      </c>
      <c r="N2863" s="33"/>
      <c r="O2863" s="58">
        <f t="shared" si="77"/>
        <v>42.43</v>
      </c>
    </row>
    <row r="2864" spans="1:17" hidden="1" outlineLevel="2">
      <c r="E2864" s="59"/>
      <c r="F2864" s="60"/>
      <c r="G2864" s="34"/>
      <c r="H2864" s="30" t="str">
        <f>_xlfn.CONCAT(H2863," - VÃO")</f>
        <v>WC MASC  - PAREDE - VÃO</v>
      </c>
      <c r="I2864" s="24"/>
      <c r="J2864" s="58">
        <v>-1</v>
      </c>
      <c r="K2864" s="33">
        <v>0.9</v>
      </c>
      <c r="L2864" s="41"/>
      <c r="M2864" s="33">
        <v>2.1</v>
      </c>
      <c r="N2864" s="33"/>
      <c r="O2864" s="58">
        <f t="shared" si="77"/>
        <v>-1.89</v>
      </c>
    </row>
    <row r="2865" spans="1:17" hidden="1" outlineLevel="2">
      <c r="E2865" s="59"/>
      <c r="F2865" s="60"/>
      <c r="G2865" s="34"/>
      <c r="H2865" s="30" t="s">
        <v>4124</v>
      </c>
      <c r="I2865" s="24"/>
      <c r="J2865" s="58"/>
      <c r="K2865" s="33">
        <v>53.02</v>
      </c>
      <c r="L2865" s="41"/>
      <c r="M2865" s="33">
        <v>4.18</v>
      </c>
      <c r="N2865" s="33"/>
      <c r="O2865" s="58">
        <f t="shared" si="77"/>
        <v>221.62</v>
      </c>
    </row>
    <row r="2866" spans="1:17" hidden="1" outlineLevel="2">
      <c r="E2866" s="59"/>
      <c r="F2866" s="60"/>
      <c r="G2866" s="34"/>
      <c r="H2866" s="30" t="str">
        <f>_xlfn.CONCAT(H2865," - VÃO")</f>
        <v>CIRC LAB ESP  - PAREDE - VÃO</v>
      </c>
      <c r="I2866" s="24"/>
      <c r="J2866" s="58">
        <v>-1</v>
      </c>
      <c r="K2866" s="33">
        <f>0.9*3+1.6</f>
        <v>4.3000000000000007</v>
      </c>
      <c r="L2866" s="41"/>
      <c r="M2866" s="33">
        <v>2.1</v>
      </c>
      <c r="N2866" s="33">
        <v>3</v>
      </c>
      <c r="O2866" s="58">
        <f t="shared" si="77"/>
        <v>-27.09</v>
      </c>
    </row>
    <row r="2867" spans="1:17" hidden="1" outlineLevel="2">
      <c r="E2867" s="59"/>
      <c r="F2867" s="60"/>
      <c r="G2867" s="34"/>
      <c r="H2867" s="30" t="s">
        <v>4125</v>
      </c>
      <c r="I2867" s="24"/>
      <c r="J2867" s="58"/>
      <c r="K2867" s="33">
        <v>61.07</v>
      </c>
      <c r="L2867" s="41"/>
      <c r="M2867" s="33">
        <v>4.18</v>
      </c>
      <c r="N2867" s="33"/>
      <c r="O2867" s="58">
        <f t="shared" si="77"/>
        <v>255.27</v>
      </c>
    </row>
    <row r="2868" spans="1:17" hidden="1" outlineLevel="2">
      <c r="E2868" s="59"/>
      <c r="F2868" s="60"/>
      <c r="G2868" s="34"/>
      <c r="H2868" s="30" t="str">
        <f>_xlfn.CONCAT(H2867," - VÃO")</f>
        <v>LABORATORIOS ESPECIAIS  1 - PAREDE - VÃO</v>
      </c>
      <c r="I2868" s="24"/>
      <c r="J2868" s="58">
        <v>-1</v>
      </c>
      <c r="K2868" s="33">
        <f>(1.6*3)*2.1+6.27*2.06+5.04*2.06</f>
        <v>33.378600000000006</v>
      </c>
      <c r="L2868" s="41"/>
      <c r="M2868" s="33"/>
      <c r="N2868" s="33"/>
      <c r="O2868" s="58">
        <f t="shared" si="77"/>
        <v>-33.380000000000003</v>
      </c>
    </row>
    <row r="2869" spans="1:17" hidden="1" outlineLevel="2">
      <c r="E2869" s="59"/>
      <c r="F2869" s="60"/>
      <c r="G2869" s="34"/>
      <c r="H2869" s="30" t="s">
        <v>4126</v>
      </c>
      <c r="I2869" s="24"/>
      <c r="J2869" s="58"/>
      <c r="K2869" s="33">
        <v>44.5</v>
      </c>
      <c r="L2869" s="41"/>
      <c r="M2869" s="33">
        <v>3.55</v>
      </c>
      <c r="N2869" s="33"/>
      <c r="O2869" s="58">
        <f t="shared" si="77"/>
        <v>157.97999999999999</v>
      </c>
    </row>
    <row r="2870" spans="1:17" hidden="1" outlineLevel="2">
      <c r="E2870" s="59"/>
      <c r="F2870" s="60"/>
      <c r="G2870" s="34"/>
      <c r="H2870" s="30" t="str">
        <f>_xlfn.CONCAT(H2869," - VÃO")</f>
        <v>CIRC  - PAREDE - VÃO</v>
      </c>
      <c r="I2870" s="24"/>
      <c r="J2870" s="58">
        <v>-1</v>
      </c>
      <c r="K2870" s="33">
        <f>1.6*7*2.1+2.2*2.1</f>
        <v>28.140000000000004</v>
      </c>
      <c r="L2870" s="41"/>
      <c r="M2870" s="33"/>
      <c r="N2870" s="33"/>
      <c r="O2870" s="58">
        <f t="shared" si="77"/>
        <v>-28.14</v>
      </c>
    </row>
    <row r="2871" spans="1:17" hidden="1" outlineLevel="2">
      <c r="E2871" s="59"/>
      <c r="F2871" s="60"/>
      <c r="G2871" s="34"/>
      <c r="H2871" s="30" t="s">
        <v>4127</v>
      </c>
      <c r="I2871" s="24"/>
      <c r="J2871" s="58"/>
      <c r="K2871" s="33">
        <v>61.07</v>
      </c>
      <c r="L2871" s="41"/>
      <c r="M2871" s="33">
        <v>4.18</v>
      </c>
      <c r="N2871" s="33"/>
      <c r="O2871" s="58">
        <f t="shared" si="77"/>
        <v>255.27</v>
      </c>
    </row>
    <row r="2872" spans="1:17" hidden="1" outlineLevel="2">
      <c r="E2872" s="59"/>
      <c r="F2872" s="60"/>
      <c r="G2872" s="34"/>
      <c r="H2872" s="30" t="str">
        <f>_xlfn.CONCAT(H2871," - VÃO")</f>
        <v>LABORATORIOS ESPECIAIS 2  - PAREDE - VÃO</v>
      </c>
      <c r="I2872" s="24"/>
      <c r="J2872" s="58">
        <v>-1</v>
      </c>
      <c r="K2872" s="33">
        <f>(1.6*3)*2.1+6.27*2.06+5.04*2.06</f>
        <v>33.378600000000006</v>
      </c>
      <c r="L2872" s="41"/>
      <c r="M2872" s="33"/>
      <c r="N2872" s="33"/>
      <c r="O2872" s="58">
        <f t="shared" si="77"/>
        <v>-33.380000000000003</v>
      </c>
    </row>
    <row r="2873" spans="1:17" ht="45" hidden="1" outlineLevel="1">
      <c r="A2873" s="2">
        <v>7</v>
      </c>
      <c r="B2873" s="2">
        <v>7</v>
      </c>
      <c r="C2873" s="2">
        <f>1+C2858</f>
        <v>2</v>
      </c>
      <c r="E2873" s="20" t="str">
        <f>CONCATENATE(A2873,".",B2873,".",C2873)</f>
        <v>7.7.2</v>
      </c>
      <c r="F2873" s="21" t="s">
        <v>4144</v>
      </c>
      <c r="G2873" s="22" t="s">
        <v>262</v>
      </c>
      <c r="H2873" s="23" t="s">
        <v>3073</v>
      </c>
      <c r="I2873" s="24" t="s">
        <v>45</v>
      </c>
      <c r="J2873" s="32"/>
      <c r="K2873" s="10"/>
      <c r="L2873" s="32"/>
      <c r="M2873" s="10"/>
      <c r="N2873" s="33"/>
      <c r="O2873" s="11">
        <f>SUM(O2874:O2875)</f>
        <v>702.99</v>
      </c>
      <c r="P2873" s="185"/>
      <c r="Q2873" s="185"/>
    </row>
    <row r="2874" spans="1:17" ht="14.25" hidden="1" outlineLevel="2">
      <c r="E2874" s="59"/>
      <c r="F2874" s="60"/>
      <c r="G2874" s="34"/>
      <c r="H2874" s="30" t="s">
        <v>3074</v>
      </c>
      <c r="I2874" s="35"/>
      <c r="J2874" s="41"/>
      <c r="K2874" s="33">
        <v>92.67</v>
      </c>
      <c r="L2874" s="41"/>
      <c r="M2874" s="41">
        <v>5.81</v>
      </c>
      <c r="N2874" s="33"/>
      <c r="O2874" s="31">
        <f>ROUND(PRODUCT(J2874:N2874),2)</f>
        <v>538.41</v>
      </c>
    </row>
    <row r="2875" spans="1:17" ht="14.25" hidden="1" outlineLevel="2">
      <c r="E2875" s="59"/>
      <c r="F2875" s="60"/>
      <c r="G2875" s="34"/>
      <c r="H2875" s="30" t="s">
        <v>2927</v>
      </c>
      <c r="I2875" s="35"/>
      <c r="J2875" s="41"/>
      <c r="K2875" s="33">
        <v>96.81</v>
      </c>
      <c r="L2875" s="41"/>
      <c r="M2875" s="41">
        <v>1.7</v>
      </c>
      <c r="N2875" s="33"/>
      <c r="O2875" s="31">
        <f>ROUND(PRODUCT(J2875:N2875),2)</f>
        <v>164.58</v>
      </c>
    </row>
    <row r="2876" spans="1:17" ht="60" hidden="1" outlineLevel="1">
      <c r="A2876" s="2">
        <v>7</v>
      </c>
      <c r="B2876" s="2">
        <v>7</v>
      </c>
      <c r="C2876" s="2">
        <f>1+C2873</f>
        <v>3</v>
      </c>
      <c r="E2876" s="20" t="str">
        <f>CONCATENATE(A2876,".",B2876,".",C2876)</f>
        <v>7.7.3</v>
      </c>
      <c r="F2876" s="21" t="s">
        <v>4145</v>
      </c>
      <c r="G2876" s="22">
        <v>87829</v>
      </c>
      <c r="H2876" s="23" t="s">
        <v>266</v>
      </c>
      <c r="I2876" s="24" t="s">
        <v>45</v>
      </c>
      <c r="J2876" s="32"/>
      <c r="K2876" s="10"/>
      <c r="L2876" s="32"/>
      <c r="M2876" s="10"/>
      <c r="N2876" s="33"/>
      <c r="O2876" s="11">
        <f>SUM(O2877:O2890)</f>
        <v>877.65000000000009</v>
      </c>
      <c r="P2876" s="185"/>
      <c r="Q2876" s="185"/>
    </row>
    <row r="2877" spans="1:17" hidden="1" outlineLevel="2">
      <c r="E2877" s="59"/>
      <c r="F2877" s="60"/>
      <c r="G2877" s="34"/>
      <c r="H2877" s="30" t="s">
        <v>4121</v>
      </c>
      <c r="I2877" s="24"/>
      <c r="J2877" s="58"/>
      <c r="K2877" s="33">
        <v>9.75</v>
      </c>
      <c r="L2877" s="41"/>
      <c r="M2877" s="33">
        <v>4.18</v>
      </c>
      <c r="N2877" s="33"/>
      <c r="O2877" s="58">
        <f t="shared" ref="O2877:O2890" si="78">ROUND(PRODUCT(J2877:N2877),2)</f>
        <v>40.76</v>
      </c>
    </row>
    <row r="2878" spans="1:17" hidden="1" outlineLevel="2">
      <c r="E2878" s="59"/>
      <c r="F2878" s="60"/>
      <c r="G2878" s="34"/>
      <c r="H2878" s="30" t="str">
        <f>_xlfn.CONCAT(H2877," - VÃO")</f>
        <v>WC FEM - PAREDE - VÃO</v>
      </c>
      <c r="I2878" s="24"/>
      <c r="J2878" s="58">
        <v>-1</v>
      </c>
      <c r="K2878" s="33">
        <v>0.9</v>
      </c>
      <c r="L2878" s="41"/>
      <c r="M2878" s="33">
        <v>2.1</v>
      </c>
      <c r="N2878" s="33"/>
      <c r="O2878" s="58">
        <f t="shared" si="78"/>
        <v>-1.89</v>
      </c>
    </row>
    <row r="2879" spans="1:17" hidden="1" outlineLevel="2">
      <c r="E2879" s="59"/>
      <c r="F2879" s="60"/>
      <c r="G2879" s="34"/>
      <c r="H2879" s="30" t="s">
        <v>4122</v>
      </c>
      <c r="I2879" s="24"/>
      <c r="J2879" s="58"/>
      <c r="K2879" s="33">
        <v>7.65</v>
      </c>
      <c r="L2879" s="41"/>
      <c r="M2879" s="33">
        <v>4.18</v>
      </c>
      <c r="N2879" s="33"/>
      <c r="O2879" s="58">
        <f t="shared" si="78"/>
        <v>31.98</v>
      </c>
    </row>
    <row r="2880" spans="1:17" hidden="1" outlineLevel="2">
      <c r="E2880" s="59"/>
      <c r="F2880" s="60"/>
      <c r="G2880" s="34"/>
      <c r="H2880" s="30" t="str">
        <f>_xlfn.CONCAT(H2879," - VÃO")</f>
        <v>WC PCD  - PAREDE - VÃO</v>
      </c>
      <c r="I2880" s="24"/>
      <c r="J2880" s="58">
        <v>-1</v>
      </c>
      <c r="K2880" s="33">
        <v>0.9</v>
      </c>
      <c r="L2880" s="41"/>
      <c r="M2880" s="33">
        <v>2.1</v>
      </c>
      <c r="N2880" s="33"/>
      <c r="O2880" s="58">
        <f t="shared" si="78"/>
        <v>-1.89</v>
      </c>
    </row>
    <row r="2881" spans="1:17" hidden="1" outlineLevel="2">
      <c r="E2881" s="59"/>
      <c r="F2881" s="60"/>
      <c r="G2881" s="34"/>
      <c r="H2881" s="30" t="s">
        <v>4123</v>
      </c>
      <c r="I2881" s="24"/>
      <c r="J2881" s="58"/>
      <c r="K2881" s="33">
        <v>10.15</v>
      </c>
      <c r="L2881" s="41"/>
      <c r="M2881" s="33">
        <v>4.18</v>
      </c>
      <c r="N2881" s="33"/>
      <c r="O2881" s="58">
        <f t="shared" si="78"/>
        <v>42.43</v>
      </c>
    </row>
    <row r="2882" spans="1:17" hidden="1" outlineLevel="2">
      <c r="E2882" s="59"/>
      <c r="F2882" s="60"/>
      <c r="G2882" s="34"/>
      <c r="H2882" s="30" t="str">
        <f>_xlfn.CONCAT(H2881," - VÃO")</f>
        <v>WC MASC  - PAREDE - VÃO</v>
      </c>
      <c r="I2882" s="24"/>
      <c r="J2882" s="58">
        <v>-1</v>
      </c>
      <c r="K2882" s="33">
        <v>0.9</v>
      </c>
      <c r="L2882" s="41"/>
      <c r="M2882" s="33">
        <v>2.1</v>
      </c>
      <c r="N2882" s="33"/>
      <c r="O2882" s="58">
        <f t="shared" si="78"/>
        <v>-1.89</v>
      </c>
    </row>
    <row r="2883" spans="1:17" hidden="1" outlineLevel="2">
      <c r="E2883" s="59"/>
      <c r="F2883" s="60"/>
      <c r="G2883" s="34"/>
      <c r="H2883" s="30" t="s">
        <v>4124</v>
      </c>
      <c r="I2883" s="24"/>
      <c r="J2883" s="58"/>
      <c r="K2883" s="33">
        <v>53.02</v>
      </c>
      <c r="L2883" s="41"/>
      <c r="M2883" s="33">
        <v>4.18</v>
      </c>
      <c r="N2883" s="33"/>
      <c r="O2883" s="58">
        <f t="shared" si="78"/>
        <v>221.62</v>
      </c>
    </row>
    <row r="2884" spans="1:17" hidden="1" outlineLevel="2">
      <c r="E2884" s="59"/>
      <c r="F2884" s="60"/>
      <c r="G2884" s="34"/>
      <c r="H2884" s="30" t="str">
        <f>_xlfn.CONCAT(H2883," - VÃO")</f>
        <v>CIRC LAB ESP  - PAREDE - VÃO</v>
      </c>
      <c r="I2884" s="24"/>
      <c r="J2884" s="58">
        <v>-1</v>
      </c>
      <c r="K2884" s="33">
        <f>0.9*3+1.6</f>
        <v>4.3000000000000007</v>
      </c>
      <c r="L2884" s="41"/>
      <c r="M2884" s="33">
        <v>2.1</v>
      </c>
      <c r="N2884" s="33">
        <v>3</v>
      </c>
      <c r="O2884" s="58">
        <f t="shared" si="78"/>
        <v>-27.09</v>
      </c>
    </row>
    <row r="2885" spans="1:17" hidden="1" outlineLevel="2">
      <c r="E2885" s="59"/>
      <c r="F2885" s="60"/>
      <c r="G2885" s="34"/>
      <c r="H2885" s="30" t="s">
        <v>4125</v>
      </c>
      <c r="I2885" s="24"/>
      <c r="J2885" s="58"/>
      <c r="K2885" s="33">
        <v>61.07</v>
      </c>
      <c r="L2885" s="41"/>
      <c r="M2885" s="33">
        <v>4.18</v>
      </c>
      <c r="N2885" s="33"/>
      <c r="O2885" s="58">
        <f t="shared" si="78"/>
        <v>255.27</v>
      </c>
    </row>
    <row r="2886" spans="1:17" hidden="1" outlineLevel="2">
      <c r="E2886" s="59"/>
      <c r="F2886" s="60"/>
      <c r="G2886" s="34"/>
      <c r="H2886" s="30" t="str">
        <f>_xlfn.CONCAT(H2885," - VÃO")</f>
        <v>LABORATORIOS ESPECIAIS  1 - PAREDE - VÃO</v>
      </c>
      <c r="I2886" s="24"/>
      <c r="J2886" s="58">
        <v>-1</v>
      </c>
      <c r="K2886" s="33">
        <f>(1.6*3)*2.1+6.27*2.06+5.04*2.06</f>
        <v>33.378600000000006</v>
      </c>
      <c r="L2886" s="41"/>
      <c r="M2886" s="33"/>
      <c r="N2886" s="33"/>
      <c r="O2886" s="58">
        <f t="shared" si="78"/>
        <v>-33.380000000000003</v>
      </c>
    </row>
    <row r="2887" spans="1:17" hidden="1" outlineLevel="2">
      <c r="E2887" s="59"/>
      <c r="F2887" s="60"/>
      <c r="G2887" s="34"/>
      <c r="H2887" s="30" t="s">
        <v>4126</v>
      </c>
      <c r="I2887" s="24"/>
      <c r="J2887" s="58"/>
      <c r="K2887" s="33">
        <v>44.5</v>
      </c>
      <c r="L2887" s="41"/>
      <c r="M2887" s="33">
        <v>3.55</v>
      </c>
      <c r="N2887" s="33"/>
      <c r="O2887" s="58">
        <f t="shared" si="78"/>
        <v>157.97999999999999</v>
      </c>
    </row>
    <row r="2888" spans="1:17" hidden="1" outlineLevel="2">
      <c r="E2888" s="59"/>
      <c r="F2888" s="60"/>
      <c r="G2888" s="34"/>
      <c r="H2888" s="30" t="str">
        <f>_xlfn.CONCAT(H2887," - VÃO")</f>
        <v>CIRC  - PAREDE - VÃO</v>
      </c>
      <c r="I2888" s="24"/>
      <c r="J2888" s="58">
        <v>-1</v>
      </c>
      <c r="K2888" s="33">
        <f>1.6*7*2.1+2.2*2.1</f>
        <v>28.140000000000004</v>
      </c>
      <c r="L2888" s="41"/>
      <c r="M2888" s="33"/>
      <c r="N2888" s="33"/>
      <c r="O2888" s="58">
        <f t="shared" si="78"/>
        <v>-28.14</v>
      </c>
    </row>
    <row r="2889" spans="1:17" hidden="1" outlineLevel="2">
      <c r="E2889" s="59"/>
      <c r="F2889" s="60"/>
      <c r="G2889" s="34"/>
      <c r="H2889" s="30" t="s">
        <v>4127</v>
      </c>
      <c r="I2889" s="24"/>
      <c r="J2889" s="58"/>
      <c r="K2889" s="33">
        <v>61.07</v>
      </c>
      <c r="L2889" s="41"/>
      <c r="M2889" s="33">
        <v>4.18</v>
      </c>
      <c r="N2889" s="33"/>
      <c r="O2889" s="58">
        <f t="shared" si="78"/>
        <v>255.27</v>
      </c>
    </row>
    <row r="2890" spans="1:17" hidden="1" outlineLevel="2">
      <c r="E2890" s="59"/>
      <c r="F2890" s="60"/>
      <c r="G2890" s="34"/>
      <c r="H2890" s="30" t="str">
        <f>_xlfn.CONCAT(H2889," - VÃO")</f>
        <v>LABORATORIOS ESPECIAIS 2  - PAREDE - VÃO</v>
      </c>
      <c r="I2890" s="24"/>
      <c r="J2890" s="58">
        <v>-1</v>
      </c>
      <c r="K2890" s="33">
        <f>(1.6*3)*2.1+6.27*2.06+5.04*2.06</f>
        <v>33.378600000000006</v>
      </c>
      <c r="L2890" s="41"/>
      <c r="M2890" s="33"/>
      <c r="N2890" s="33"/>
      <c r="O2890" s="58">
        <f t="shared" si="78"/>
        <v>-33.380000000000003</v>
      </c>
    </row>
    <row r="2891" spans="1:17" ht="45" hidden="1" outlineLevel="1">
      <c r="A2891" s="2">
        <v>7</v>
      </c>
      <c r="B2891" s="2">
        <v>7</v>
      </c>
      <c r="C2891" s="2">
        <f>1+C2876</f>
        <v>4</v>
      </c>
      <c r="E2891" s="20" t="str">
        <f>CONCATENATE(A2891,".",B2891,".",C2891)</f>
        <v>7.7.4</v>
      </c>
      <c r="F2891" s="21" t="s">
        <v>4146</v>
      </c>
      <c r="G2891" s="22">
        <v>87779</v>
      </c>
      <c r="H2891" s="23" t="s">
        <v>269</v>
      </c>
      <c r="I2891" s="24" t="s">
        <v>45</v>
      </c>
      <c r="J2891" s="32"/>
      <c r="K2891" s="10"/>
      <c r="L2891" s="32"/>
      <c r="M2891" s="10"/>
      <c r="N2891" s="33"/>
      <c r="O2891" s="11">
        <f>SUM(O2892:O2893)</f>
        <v>702.99</v>
      </c>
      <c r="P2891" s="185"/>
      <c r="Q2891" s="185"/>
    </row>
    <row r="2892" spans="1:17" ht="14.25" hidden="1" outlineLevel="2">
      <c r="E2892" s="59"/>
      <c r="F2892" s="60"/>
      <c r="G2892" s="34"/>
      <c r="H2892" s="30" t="s">
        <v>3074</v>
      </c>
      <c r="I2892" s="35"/>
      <c r="J2892" s="41"/>
      <c r="K2892" s="33">
        <v>92.67</v>
      </c>
      <c r="L2892" s="41"/>
      <c r="M2892" s="41">
        <v>5.81</v>
      </c>
      <c r="N2892" s="33"/>
      <c r="O2892" s="31">
        <f>ROUND(PRODUCT(J2892:N2892),2)</f>
        <v>538.41</v>
      </c>
    </row>
    <row r="2893" spans="1:17" ht="14.25" hidden="1" outlineLevel="2">
      <c r="E2893" s="59"/>
      <c r="F2893" s="60"/>
      <c r="G2893" s="34"/>
      <c r="H2893" s="30" t="s">
        <v>2927</v>
      </c>
      <c r="I2893" s="35"/>
      <c r="J2893" s="41"/>
      <c r="K2893" s="33">
        <v>96.81</v>
      </c>
      <c r="L2893" s="41"/>
      <c r="M2893" s="41">
        <v>1.7</v>
      </c>
      <c r="N2893" s="33"/>
      <c r="O2893" s="31">
        <f>ROUND(PRODUCT(J2893:N2893),2)</f>
        <v>164.58</v>
      </c>
    </row>
    <row r="2894" spans="1:17" ht="45" hidden="1" outlineLevel="1">
      <c r="A2894" s="2">
        <v>7</v>
      </c>
      <c r="B2894" s="2">
        <v>7</v>
      </c>
      <c r="C2894" s="2">
        <f>1+C2891</f>
        <v>5</v>
      </c>
      <c r="E2894" s="20" t="str">
        <f>CONCATENATE(A2894,".",B2894,".",C2894)</f>
        <v>7.7.5</v>
      </c>
      <c r="F2894" s="21" t="s">
        <v>4147</v>
      </c>
      <c r="G2894" s="22" t="s">
        <v>271</v>
      </c>
      <c r="H2894" s="23" t="s">
        <v>272</v>
      </c>
      <c r="I2894" s="24" t="s">
        <v>45</v>
      </c>
      <c r="J2894" s="32"/>
      <c r="K2894" s="10"/>
      <c r="L2894" s="32"/>
      <c r="M2894" s="10"/>
      <c r="N2894" s="33"/>
      <c r="O2894" s="11">
        <f>SUM(O2895:O2900)</f>
        <v>109.49999999999999</v>
      </c>
      <c r="P2894" s="185"/>
      <c r="Q2894" s="185"/>
    </row>
    <row r="2895" spans="1:17" hidden="1" outlineLevel="2">
      <c r="E2895" s="59"/>
      <c r="F2895" s="60"/>
      <c r="G2895" s="34"/>
      <c r="H2895" s="30" t="s">
        <v>4121</v>
      </c>
      <c r="I2895" s="24"/>
      <c r="J2895" s="58"/>
      <c r="K2895" s="33">
        <v>9.75</v>
      </c>
      <c r="L2895" s="41"/>
      <c r="M2895" s="33">
        <v>4.18</v>
      </c>
      <c r="N2895" s="33"/>
      <c r="O2895" s="58">
        <f t="shared" ref="O2895:O2900" si="79">ROUND(PRODUCT(J2895:N2895),2)</f>
        <v>40.76</v>
      </c>
    </row>
    <row r="2896" spans="1:17" hidden="1" outlineLevel="2">
      <c r="E2896" s="59"/>
      <c r="F2896" s="60"/>
      <c r="G2896" s="34"/>
      <c r="H2896" s="30" t="str">
        <f>_xlfn.CONCAT(H2895," - VÃO")</f>
        <v>WC FEM - PAREDE - VÃO</v>
      </c>
      <c r="I2896" s="24"/>
      <c r="J2896" s="58">
        <v>-1</v>
      </c>
      <c r="K2896" s="33">
        <v>0.9</v>
      </c>
      <c r="L2896" s="41"/>
      <c r="M2896" s="33">
        <v>2.1</v>
      </c>
      <c r="N2896" s="33"/>
      <c r="O2896" s="58">
        <f t="shared" si="79"/>
        <v>-1.89</v>
      </c>
    </row>
    <row r="2897" spans="1:17" hidden="1" outlineLevel="2">
      <c r="E2897" s="59"/>
      <c r="F2897" s="60"/>
      <c r="G2897" s="34"/>
      <c r="H2897" s="30" t="s">
        <v>4122</v>
      </c>
      <c r="I2897" s="24"/>
      <c r="J2897" s="58"/>
      <c r="K2897" s="33">
        <v>7.65</v>
      </c>
      <c r="L2897" s="41"/>
      <c r="M2897" s="33">
        <v>4.18</v>
      </c>
      <c r="N2897" s="33"/>
      <c r="O2897" s="58">
        <f t="shared" si="79"/>
        <v>31.98</v>
      </c>
    </row>
    <row r="2898" spans="1:17" hidden="1" outlineLevel="2">
      <c r="E2898" s="59"/>
      <c r="F2898" s="60"/>
      <c r="G2898" s="34"/>
      <c r="H2898" s="30" t="str">
        <f>_xlfn.CONCAT(H2897," - VÃO")</f>
        <v>WC PCD  - PAREDE - VÃO</v>
      </c>
      <c r="I2898" s="24"/>
      <c r="J2898" s="58">
        <v>-1</v>
      </c>
      <c r="K2898" s="33">
        <v>0.9</v>
      </c>
      <c r="L2898" s="41"/>
      <c r="M2898" s="33">
        <v>2.1</v>
      </c>
      <c r="N2898" s="33"/>
      <c r="O2898" s="58">
        <f t="shared" si="79"/>
        <v>-1.89</v>
      </c>
    </row>
    <row r="2899" spans="1:17" hidden="1" outlineLevel="2">
      <c r="E2899" s="59"/>
      <c r="F2899" s="60"/>
      <c r="G2899" s="34"/>
      <c r="H2899" s="30" t="s">
        <v>4123</v>
      </c>
      <c r="I2899" s="24"/>
      <c r="J2899" s="58"/>
      <c r="K2899" s="33">
        <v>10.15</v>
      </c>
      <c r="L2899" s="41"/>
      <c r="M2899" s="33">
        <v>4.18</v>
      </c>
      <c r="N2899" s="33"/>
      <c r="O2899" s="58">
        <f t="shared" si="79"/>
        <v>42.43</v>
      </c>
    </row>
    <row r="2900" spans="1:17" hidden="1" outlineLevel="2">
      <c r="E2900" s="59"/>
      <c r="F2900" s="60"/>
      <c r="G2900" s="34"/>
      <c r="H2900" s="30" t="str">
        <f>_xlfn.CONCAT(H2899," - VÃO")</f>
        <v>WC MASC  - PAREDE - VÃO</v>
      </c>
      <c r="I2900" s="24"/>
      <c r="J2900" s="58">
        <v>-1</v>
      </c>
      <c r="K2900" s="33">
        <v>0.9</v>
      </c>
      <c r="L2900" s="41"/>
      <c r="M2900" s="33">
        <v>2.1</v>
      </c>
      <c r="N2900" s="33"/>
      <c r="O2900" s="58">
        <f t="shared" si="79"/>
        <v>-1.89</v>
      </c>
    </row>
    <row r="2901" spans="1:17" hidden="1" outlineLevel="1">
      <c r="A2901" s="2">
        <v>7</v>
      </c>
      <c r="B2901" s="2">
        <v>7</v>
      </c>
      <c r="C2901" s="2">
        <f>1+C2894</f>
        <v>6</v>
      </c>
      <c r="E2901" s="20" t="str">
        <f>CONCATENATE(A2901,".",B2901,".",C2901)</f>
        <v>7.7.6</v>
      </c>
      <c r="F2901" s="21" t="s">
        <v>4148</v>
      </c>
      <c r="G2901" s="22">
        <v>2249</v>
      </c>
      <c r="H2901" s="23" t="s">
        <v>275</v>
      </c>
      <c r="I2901" s="24" t="s">
        <v>45</v>
      </c>
      <c r="J2901" s="32"/>
      <c r="K2901" s="10"/>
      <c r="L2901" s="32"/>
      <c r="M2901" s="10"/>
      <c r="N2901" s="33"/>
      <c r="O2901" s="11">
        <f>SUM(O2902:O2909)</f>
        <v>1019.77</v>
      </c>
      <c r="P2901" s="185"/>
      <c r="Q2901" s="185"/>
    </row>
    <row r="2902" spans="1:17" hidden="1" outlineLevel="2">
      <c r="E2902" s="59"/>
      <c r="F2902" s="60"/>
      <c r="G2902" s="34"/>
      <c r="H2902" s="30" t="s">
        <v>4125</v>
      </c>
      <c r="I2902" s="24"/>
      <c r="J2902" s="58"/>
      <c r="K2902" s="33">
        <v>61.07</v>
      </c>
      <c r="L2902" s="41"/>
      <c r="M2902" s="33">
        <v>4.18</v>
      </c>
      <c r="N2902" s="33"/>
      <c r="O2902" s="58">
        <f t="shared" ref="O2902:O2907" si="80">ROUND(PRODUCT(J2902:N2902),2)</f>
        <v>255.27</v>
      </c>
      <c r="P2902" s="185"/>
      <c r="Q2902" s="185"/>
    </row>
    <row r="2903" spans="1:17" hidden="1" outlineLevel="2">
      <c r="E2903" s="59"/>
      <c r="F2903" s="60"/>
      <c r="G2903" s="34"/>
      <c r="H2903" s="30" t="str">
        <f>_xlfn.CONCAT(H2902," - VÃO")</f>
        <v>LABORATORIOS ESPECIAIS  1 - PAREDE - VÃO</v>
      </c>
      <c r="I2903" s="24"/>
      <c r="J2903" s="58">
        <v>-1</v>
      </c>
      <c r="K2903" s="33">
        <f>(1.6*3)*2.1+6.27*2.06+5.04*2.06</f>
        <v>33.378600000000006</v>
      </c>
      <c r="L2903" s="41"/>
      <c r="M2903" s="33"/>
      <c r="N2903" s="33"/>
      <c r="O2903" s="58">
        <f t="shared" si="80"/>
        <v>-33.380000000000003</v>
      </c>
      <c r="P2903" s="185"/>
      <c r="Q2903" s="185"/>
    </row>
    <row r="2904" spans="1:17" hidden="1" outlineLevel="2">
      <c r="E2904" s="59"/>
      <c r="F2904" s="60"/>
      <c r="G2904" s="34"/>
      <c r="H2904" s="30" t="s">
        <v>4126</v>
      </c>
      <c r="I2904" s="24"/>
      <c r="J2904" s="58"/>
      <c r="K2904" s="33">
        <v>44.5</v>
      </c>
      <c r="L2904" s="41"/>
      <c r="M2904" s="33">
        <v>3.55</v>
      </c>
      <c r="N2904" s="33"/>
      <c r="O2904" s="58">
        <f t="shared" si="80"/>
        <v>157.97999999999999</v>
      </c>
      <c r="P2904" s="185"/>
      <c r="Q2904" s="185"/>
    </row>
    <row r="2905" spans="1:17" hidden="1" outlineLevel="2">
      <c r="E2905" s="59"/>
      <c r="F2905" s="60"/>
      <c r="G2905" s="34"/>
      <c r="H2905" s="30" t="str">
        <f>_xlfn.CONCAT(H2904," - VÃO")</f>
        <v>CIRC  - PAREDE - VÃO</v>
      </c>
      <c r="I2905" s="24"/>
      <c r="J2905" s="58">
        <v>-1</v>
      </c>
      <c r="K2905" s="33">
        <f>1.6*7*2.1+2.2*2.1</f>
        <v>28.140000000000004</v>
      </c>
      <c r="L2905" s="41"/>
      <c r="M2905" s="33"/>
      <c r="N2905" s="33"/>
      <c r="O2905" s="58">
        <f t="shared" si="80"/>
        <v>-28.14</v>
      </c>
      <c r="P2905" s="185"/>
      <c r="Q2905" s="185"/>
    </row>
    <row r="2906" spans="1:17" hidden="1" outlineLevel="2">
      <c r="E2906" s="59"/>
      <c r="F2906" s="60"/>
      <c r="G2906" s="34"/>
      <c r="H2906" s="30" t="s">
        <v>4127</v>
      </c>
      <c r="I2906" s="24"/>
      <c r="J2906" s="58"/>
      <c r="K2906" s="33">
        <v>61.07</v>
      </c>
      <c r="L2906" s="41"/>
      <c r="M2906" s="33">
        <v>4.18</v>
      </c>
      <c r="N2906" s="33"/>
      <c r="O2906" s="58">
        <f t="shared" si="80"/>
        <v>255.27</v>
      </c>
      <c r="P2906" s="185"/>
      <c r="Q2906" s="185"/>
    </row>
    <row r="2907" spans="1:17" hidden="1" outlineLevel="2">
      <c r="E2907" s="59"/>
      <c r="F2907" s="60"/>
      <c r="G2907" s="34"/>
      <c r="H2907" s="30" t="str">
        <f>_xlfn.CONCAT(H2906," - VÃO")</f>
        <v>LABORATORIOS ESPECIAIS 2  - PAREDE - VÃO</v>
      </c>
      <c r="I2907" s="24"/>
      <c r="J2907" s="58">
        <v>-1</v>
      </c>
      <c r="K2907" s="33">
        <f>(1.6*3)*2.1+6.27*2.06+5.04*2.06</f>
        <v>33.378600000000006</v>
      </c>
      <c r="L2907" s="41"/>
      <c r="M2907" s="33"/>
      <c r="N2907" s="33"/>
      <c r="O2907" s="58">
        <f t="shared" si="80"/>
        <v>-33.380000000000003</v>
      </c>
      <c r="P2907" s="185"/>
      <c r="Q2907" s="185"/>
    </row>
    <row r="2908" spans="1:17" hidden="1" outlineLevel="2">
      <c r="E2908" s="59"/>
      <c r="F2908" s="60"/>
      <c r="G2908" s="34"/>
      <c r="H2908" s="30" t="s">
        <v>3074</v>
      </c>
      <c r="I2908" s="24"/>
      <c r="J2908" s="58"/>
      <c r="K2908" s="33">
        <v>92.67</v>
      </c>
      <c r="L2908" s="41"/>
      <c r="M2908" s="33">
        <v>5.81</v>
      </c>
      <c r="N2908" s="33"/>
      <c r="O2908" s="58">
        <f>ROUND(PRODUCT(J2908:N2908),2)</f>
        <v>538.41</v>
      </c>
      <c r="P2908" s="185"/>
      <c r="Q2908" s="185"/>
    </row>
    <row r="2909" spans="1:17" hidden="1" outlineLevel="2">
      <c r="E2909" s="59"/>
      <c r="F2909" s="60"/>
      <c r="G2909" s="34"/>
      <c r="H2909" s="30" t="str">
        <f>_xlfn.CONCAT(H2908," - VÃO")</f>
        <v>FACHADA - VÃO</v>
      </c>
      <c r="I2909" s="24"/>
      <c r="J2909" s="58">
        <v>-1</v>
      </c>
      <c r="K2909" s="33">
        <f>3*1.29*0.46+6*5.64*2.06+2*5.04*2.06</f>
        <v>92.25539999999998</v>
      </c>
      <c r="L2909" s="41"/>
      <c r="M2909" s="33"/>
      <c r="N2909" s="33"/>
      <c r="O2909" s="58">
        <f>ROUND(PRODUCT(J2909:N2909),2)</f>
        <v>-92.26</v>
      </c>
      <c r="P2909" s="185"/>
      <c r="Q2909" s="185"/>
    </row>
    <row r="2910" spans="1:17" ht="22.9" customHeight="1" collapsed="1">
      <c r="A2910" s="2">
        <v>7</v>
      </c>
      <c r="B2910" s="2">
        <v>8</v>
      </c>
      <c r="E2910" s="42" t="str">
        <f>CONCATENATE(A2910,".",B2910)</f>
        <v>7.8</v>
      </c>
      <c r="F2910" s="45" t="s">
        <v>4149</v>
      </c>
      <c r="G2910" s="13"/>
      <c r="H2910" s="14" t="s">
        <v>294</v>
      </c>
      <c r="I2910" s="15"/>
      <c r="J2910" s="16"/>
      <c r="K2910" s="17"/>
      <c r="L2910" s="16"/>
      <c r="M2910" s="17"/>
      <c r="N2910" s="18"/>
      <c r="O2910" s="61"/>
      <c r="P2910" s="185"/>
      <c r="Q2910" s="185"/>
    </row>
    <row r="2911" spans="1:17" hidden="1" outlineLevel="1">
      <c r="A2911" s="2">
        <v>7</v>
      </c>
      <c r="B2911" s="2">
        <v>8</v>
      </c>
      <c r="C2911" s="2">
        <f>1+C2910</f>
        <v>1</v>
      </c>
      <c r="E2911" s="20" t="str">
        <f>CONCATENATE(A2911,".",B2911,".",C2911)</f>
        <v>7.8.1</v>
      </c>
      <c r="F2911" s="21" t="s">
        <v>4150</v>
      </c>
      <c r="G2911" s="22" t="s">
        <v>296</v>
      </c>
      <c r="H2911" s="23" t="s">
        <v>297</v>
      </c>
      <c r="I2911" s="24" t="s">
        <v>45</v>
      </c>
      <c r="J2911" s="32"/>
      <c r="K2911" s="10"/>
      <c r="L2911" s="32"/>
      <c r="M2911" s="10"/>
      <c r="N2911" s="33"/>
      <c r="O2911" s="11">
        <f>SUM(O2912:O2918)</f>
        <v>371.52</v>
      </c>
      <c r="P2911" s="185"/>
      <c r="Q2911" s="185"/>
    </row>
    <row r="2912" spans="1:17" hidden="1" outlineLevel="2">
      <c r="E2912" s="59"/>
      <c r="F2912" s="60"/>
      <c r="G2912" s="34"/>
      <c r="H2912" s="30" t="s">
        <v>3012</v>
      </c>
      <c r="I2912" s="24"/>
      <c r="J2912" s="32"/>
      <c r="K2912" s="33"/>
      <c r="L2912" s="41"/>
      <c r="M2912" s="33"/>
      <c r="N2912" s="33">
        <v>5.63</v>
      </c>
      <c r="O2912" s="58">
        <f t="shared" ref="O2912:O2918" si="81">ROUND(PRODUCT(J2912:N2912),2)</f>
        <v>5.63</v>
      </c>
      <c r="P2912" s="185"/>
      <c r="Q2912" s="185"/>
    </row>
    <row r="2913" spans="1:17" hidden="1" outlineLevel="2">
      <c r="E2913" s="59"/>
      <c r="F2913" s="60"/>
      <c r="G2913" s="34"/>
      <c r="H2913" s="30" t="s">
        <v>3013</v>
      </c>
      <c r="I2913" s="24"/>
      <c r="J2913" s="32"/>
      <c r="K2913" s="33"/>
      <c r="L2913" s="41"/>
      <c r="M2913" s="33"/>
      <c r="N2913" s="33">
        <v>3.66</v>
      </c>
      <c r="O2913" s="58">
        <f t="shared" si="81"/>
        <v>3.66</v>
      </c>
      <c r="P2913" s="185"/>
      <c r="Q2913" s="185"/>
    </row>
    <row r="2914" spans="1:17" hidden="1" outlineLevel="2">
      <c r="E2914" s="59"/>
      <c r="F2914" s="60"/>
      <c r="G2914" s="34"/>
      <c r="H2914" s="30" t="s">
        <v>3041</v>
      </c>
      <c r="I2914" s="24"/>
      <c r="J2914" s="32"/>
      <c r="K2914" s="33"/>
      <c r="L2914" s="41"/>
      <c r="M2914" s="33"/>
      <c r="N2914" s="33">
        <v>6</v>
      </c>
      <c r="O2914" s="58">
        <f t="shared" si="81"/>
        <v>6</v>
      </c>
      <c r="P2914" s="185"/>
      <c r="Q2914" s="185"/>
    </row>
    <row r="2915" spans="1:17" hidden="1" outlineLevel="2">
      <c r="E2915" s="59"/>
      <c r="F2915" s="60"/>
      <c r="G2915" s="34"/>
      <c r="H2915" s="30" t="s">
        <v>4095</v>
      </c>
      <c r="I2915" s="24"/>
      <c r="J2915" s="32"/>
      <c r="K2915" s="33"/>
      <c r="L2915" s="41"/>
      <c r="M2915" s="33"/>
      <c r="N2915" s="33">
        <f>67.6+8.42</f>
        <v>76.02</v>
      </c>
      <c r="O2915" s="58">
        <f t="shared" si="81"/>
        <v>76.02</v>
      </c>
      <c r="P2915" s="185"/>
      <c r="Q2915" s="185"/>
    </row>
    <row r="2916" spans="1:17" hidden="1" outlineLevel="2">
      <c r="E2916" s="59"/>
      <c r="F2916" s="60"/>
      <c r="G2916" s="34"/>
      <c r="H2916" s="30" t="s">
        <v>4117</v>
      </c>
      <c r="I2916" s="24"/>
      <c r="J2916" s="32"/>
      <c r="K2916" s="33"/>
      <c r="L2916" s="41"/>
      <c r="M2916" s="33"/>
      <c r="N2916" s="33">
        <v>210.22</v>
      </c>
      <c r="O2916" s="58">
        <f t="shared" si="81"/>
        <v>210.22</v>
      </c>
      <c r="P2916" s="185"/>
      <c r="Q2916" s="185"/>
    </row>
    <row r="2917" spans="1:17" hidden="1" outlineLevel="2">
      <c r="E2917" s="59"/>
      <c r="F2917" s="60"/>
      <c r="G2917" s="34"/>
      <c r="H2917" s="30" t="s">
        <v>4118</v>
      </c>
      <c r="I2917" s="24"/>
      <c r="J2917" s="32"/>
      <c r="K2917" s="33"/>
      <c r="L2917" s="41"/>
      <c r="M2917" s="33"/>
      <c r="N2917" s="33">
        <v>44.11</v>
      </c>
      <c r="O2917" s="58">
        <f t="shared" si="81"/>
        <v>44.11</v>
      </c>
      <c r="P2917" s="185"/>
      <c r="Q2917" s="185"/>
    </row>
    <row r="2918" spans="1:17" hidden="1" outlineLevel="2">
      <c r="E2918" s="59"/>
      <c r="F2918" s="60"/>
      <c r="G2918" s="34"/>
      <c r="H2918" s="30" t="s">
        <v>4119</v>
      </c>
      <c r="I2918" s="24"/>
      <c r="J2918" s="32"/>
      <c r="K2918" s="33"/>
      <c r="L2918" s="41"/>
      <c r="M2918" s="33"/>
      <c r="N2918" s="33">
        <v>25.88</v>
      </c>
      <c r="O2918" s="58">
        <f t="shared" si="81"/>
        <v>25.88</v>
      </c>
      <c r="P2918" s="185"/>
      <c r="Q2918" s="185"/>
    </row>
    <row r="2919" spans="1:17" collapsed="1">
      <c r="A2919" s="2">
        <v>7</v>
      </c>
      <c r="B2919" s="2">
        <v>9</v>
      </c>
      <c r="E2919" s="42" t="str">
        <f>CONCATENATE(A2919,".",B2919)</f>
        <v>7.9</v>
      </c>
      <c r="F2919" s="45" t="s">
        <v>4151</v>
      </c>
      <c r="G2919" s="13"/>
      <c r="H2919" s="14" t="s">
        <v>302</v>
      </c>
      <c r="I2919" s="15"/>
      <c r="J2919" s="16"/>
      <c r="K2919" s="17"/>
      <c r="L2919" s="16"/>
      <c r="M2919" s="17"/>
      <c r="N2919" s="18"/>
      <c r="O2919" s="19"/>
      <c r="P2919" s="185"/>
      <c r="Q2919" s="185"/>
    </row>
    <row r="2920" spans="1:17" ht="30" hidden="1" outlineLevel="1">
      <c r="A2920" s="2">
        <v>7</v>
      </c>
      <c r="B2920" s="2">
        <v>9</v>
      </c>
      <c r="C2920" s="2">
        <f>1+C2919</f>
        <v>1</v>
      </c>
      <c r="E2920" s="20" t="str">
        <f>CONCATENATE(A2920,".",B2920,".",C2920)</f>
        <v>7.9.1</v>
      </c>
      <c r="F2920" s="21" t="s">
        <v>4152</v>
      </c>
      <c r="G2920" s="22">
        <v>91338</v>
      </c>
      <c r="H2920" s="23" t="s">
        <v>1037</v>
      </c>
      <c r="I2920" s="24" t="s">
        <v>276</v>
      </c>
      <c r="J2920" s="32"/>
      <c r="K2920" s="10"/>
      <c r="L2920" s="32"/>
      <c r="M2920" s="10"/>
      <c r="N2920" s="33"/>
      <c r="O2920" s="11">
        <f>SUM(O2921)</f>
        <v>5.76</v>
      </c>
      <c r="P2920" s="112"/>
      <c r="Q2920" s="185"/>
    </row>
    <row r="2921" spans="1:17" ht="14.25" hidden="1" outlineLevel="1">
      <c r="E2921" s="59"/>
      <c r="F2921" s="60"/>
      <c r="G2921" s="34"/>
      <c r="H2921" s="30" t="s">
        <v>4153</v>
      </c>
      <c r="I2921" s="35"/>
      <c r="J2921" s="41"/>
      <c r="K2921" s="33">
        <v>0.8</v>
      </c>
      <c r="L2921" s="41">
        <v>1.8</v>
      </c>
      <c r="M2921" s="33"/>
      <c r="N2921" s="33">
        <v>4</v>
      </c>
      <c r="O2921" s="31">
        <f>ROUND(PRODUCT(J2921:N2921),2)</f>
        <v>5.76</v>
      </c>
      <c r="P2921" s="101"/>
    </row>
    <row r="2922" spans="1:17" ht="60" hidden="1" outlineLevel="1">
      <c r="A2922" s="2">
        <v>7</v>
      </c>
      <c r="B2922" s="2">
        <v>9</v>
      </c>
      <c r="C2922" s="2">
        <f>1+C2920</f>
        <v>2</v>
      </c>
      <c r="E2922" s="20" t="str">
        <f>CONCATENATE(A2922,".",B2922,".",C2922)</f>
        <v>7.9.2</v>
      </c>
      <c r="F2922" s="21" t="s">
        <v>4154</v>
      </c>
      <c r="G2922" s="22">
        <v>94559</v>
      </c>
      <c r="H2922" s="23" t="s">
        <v>3147</v>
      </c>
      <c r="I2922" s="24" t="s">
        <v>45</v>
      </c>
      <c r="J2922" s="32"/>
      <c r="K2922" s="10"/>
      <c r="L2922" s="32"/>
      <c r="M2922" s="10"/>
      <c r="N2922" s="33"/>
      <c r="O2922" s="11">
        <f>SUM(O2923:O2925)</f>
        <v>92.25</v>
      </c>
      <c r="P2922" s="112"/>
      <c r="Q2922" s="185"/>
    </row>
    <row r="2923" spans="1:17" ht="14.25" hidden="1" outlineLevel="1">
      <c r="E2923" s="59"/>
      <c r="F2923" s="60"/>
      <c r="G2923" s="34"/>
      <c r="H2923" s="30" t="s">
        <v>4155</v>
      </c>
      <c r="I2923" s="35"/>
      <c r="J2923" s="41"/>
      <c r="K2923" s="33">
        <v>1.29</v>
      </c>
      <c r="L2923" s="41"/>
      <c r="M2923" s="33">
        <v>0.46</v>
      </c>
      <c r="N2923" s="33">
        <v>3</v>
      </c>
      <c r="O2923" s="31">
        <f>ROUND(PRODUCT(J2923:N2923),2)</f>
        <v>1.78</v>
      </c>
      <c r="P2923" s="101"/>
    </row>
    <row r="2924" spans="1:17" ht="14.25" hidden="1" outlineLevel="1">
      <c r="E2924" s="59"/>
      <c r="F2924" s="60"/>
      <c r="G2924" s="34"/>
      <c r="H2924" s="30" t="s">
        <v>4104</v>
      </c>
      <c r="I2924" s="35"/>
      <c r="J2924" s="41"/>
      <c r="K2924" s="33">
        <v>5.64</v>
      </c>
      <c r="L2924" s="41"/>
      <c r="M2924" s="33">
        <v>2.06</v>
      </c>
      <c r="N2924" s="33">
        <v>6</v>
      </c>
      <c r="O2924" s="31">
        <f>ROUND(PRODUCT(J2924:N2924),2)</f>
        <v>69.709999999999994</v>
      </c>
      <c r="P2924" s="101"/>
    </row>
    <row r="2925" spans="1:17" ht="14.25" hidden="1" outlineLevel="1">
      <c r="E2925" s="59"/>
      <c r="F2925" s="60"/>
      <c r="G2925" s="34"/>
      <c r="H2925" s="30" t="s">
        <v>4105</v>
      </c>
      <c r="I2925" s="35"/>
      <c r="J2925" s="41"/>
      <c r="K2925" s="33">
        <v>5.04</v>
      </c>
      <c r="L2925" s="41"/>
      <c r="M2925" s="33">
        <v>2.06</v>
      </c>
      <c r="N2925" s="33">
        <v>2</v>
      </c>
      <c r="O2925" s="31">
        <f>ROUND(PRODUCT(J2925:N2925),2)</f>
        <v>20.76</v>
      </c>
      <c r="P2925" s="101"/>
    </row>
    <row r="2926" spans="1:17" ht="30" hidden="1" outlineLevel="1">
      <c r="A2926" s="2">
        <v>7</v>
      </c>
      <c r="B2926" s="2">
        <v>9</v>
      </c>
      <c r="C2926" s="2" t="e">
        <f>1+#REF!</f>
        <v>#REF!</v>
      </c>
      <c r="E2926" s="20" t="e">
        <f>CONCATENATE(A2926,".",B2926,".",C2926)</f>
        <v>#REF!</v>
      </c>
      <c r="F2926" s="21" t="s">
        <v>4156</v>
      </c>
      <c r="G2926" s="22">
        <v>91341</v>
      </c>
      <c r="H2926" s="23" t="s">
        <v>332</v>
      </c>
      <c r="I2926" s="24" t="s">
        <v>45</v>
      </c>
      <c r="J2926" s="32"/>
      <c r="K2926" s="10"/>
      <c r="L2926" s="32"/>
      <c r="M2926" s="10"/>
      <c r="N2926" s="33"/>
      <c r="O2926" s="11">
        <f>SUM(O2927:O2927)</f>
        <v>5.67</v>
      </c>
      <c r="P2926" s="112"/>
      <c r="Q2926" s="185"/>
    </row>
    <row r="2927" spans="1:17" ht="14.25" hidden="1" outlineLevel="1">
      <c r="E2927" s="59"/>
      <c r="F2927" s="60"/>
      <c r="G2927" s="34"/>
      <c r="H2927" s="30" t="s">
        <v>3628</v>
      </c>
      <c r="I2927" s="35"/>
      <c r="J2927" s="41"/>
      <c r="K2927" s="33">
        <v>0.9</v>
      </c>
      <c r="L2927" s="41"/>
      <c r="M2927" s="33">
        <v>2.1</v>
      </c>
      <c r="N2927" s="33">
        <v>3</v>
      </c>
      <c r="O2927" s="31">
        <f>ROUND(PRODUCT(J2927:N2927),2)</f>
        <v>5.67</v>
      </c>
      <c r="P2927" s="101"/>
    </row>
    <row r="2928" spans="1:17" ht="45" hidden="1" outlineLevel="1">
      <c r="A2928" s="2">
        <v>7</v>
      </c>
      <c r="B2928" s="2">
        <v>9</v>
      </c>
      <c r="C2928" s="2" t="e">
        <f>1+C2926</f>
        <v>#REF!</v>
      </c>
      <c r="E2928" s="20" t="e">
        <f>CONCATENATE(A2928,".",B2928,".",C2928)</f>
        <v>#REF!</v>
      </c>
      <c r="F2928" s="21" t="s">
        <v>4157</v>
      </c>
      <c r="G2928" s="22">
        <v>2310</v>
      </c>
      <c r="H2928" s="23" t="s">
        <v>326</v>
      </c>
      <c r="I2928" s="24" t="s">
        <v>36</v>
      </c>
      <c r="J2928" s="32"/>
      <c r="K2928" s="10"/>
      <c r="L2928" s="32"/>
      <c r="M2928" s="10"/>
      <c r="N2928" s="33"/>
      <c r="O2928" s="11">
        <f>SUM(O2929)</f>
        <v>7</v>
      </c>
      <c r="P2928" s="112"/>
      <c r="Q2928" s="185"/>
    </row>
    <row r="2929" spans="1:17" ht="14.25" hidden="1" outlineLevel="1">
      <c r="E2929" s="59"/>
      <c r="F2929" s="60"/>
      <c r="G2929" s="34"/>
      <c r="H2929" s="30" t="s">
        <v>4102</v>
      </c>
      <c r="I2929" s="35"/>
      <c r="J2929" s="41"/>
      <c r="K2929" s="33"/>
      <c r="L2929" s="41"/>
      <c r="M2929" s="33"/>
      <c r="N2929" s="33">
        <v>7</v>
      </c>
      <c r="O2929" s="31">
        <f>ROUND(PRODUCT(J2929:N2929),2)</f>
        <v>7</v>
      </c>
      <c r="P2929" s="101"/>
    </row>
    <row r="2930" spans="1:17" hidden="1" outlineLevel="1">
      <c r="A2930" s="2">
        <v>7</v>
      </c>
      <c r="B2930" s="2">
        <v>9</v>
      </c>
      <c r="C2930" s="2" t="e">
        <f>1+#REF!</f>
        <v>#REF!</v>
      </c>
      <c r="E2930" s="20" t="e">
        <f>CONCATENATE(A2930,".",B2930,".",C2930)</f>
        <v>#REF!</v>
      </c>
      <c r="F2930" s="21" t="s">
        <v>4158</v>
      </c>
      <c r="G2930" s="22">
        <v>2325</v>
      </c>
      <c r="H2930" s="23" t="s">
        <v>1033</v>
      </c>
      <c r="I2930" s="24" t="s">
        <v>45</v>
      </c>
      <c r="J2930" s="32"/>
      <c r="K2930" s="10"/>
      <c r="L2930" s="32"/>
      <c r="M2930" s="10"/>
      <c r="N2930" s="33"/>
      <c r="O2930" s="11">
        <f>SUM(O2931)</f>
        <v>6.8</v>
      </c>
      <c r="P2930" s="101"/>
      <c r="Q2930" s="185"/>
    </row>
    <row r="2931" spans="1:17" hidden="1" outlineLevel="1">
      <c r="E2931" s="59"/>
      <c r="F2931" s="60"/>
      <c r="G2931" s="34"/>
      <c r="H2931" s="30" t="s">
        <v>3704</v>
      </c>
      <c r="I2931" s="35"/>
      <c r="J2931" s="25"/>
      <c r="K2931" s="33">
        <v>2</v>
      </c>
      <c r="L2931" s="41">
        <v>3.4</v>
      </c>
      <c r="M2931" s="33"/>
      <c r="N2931" s="33">
        <v>1</v>
      </c>
      <c r="O2931" s="58">
        <f>ROUND(PRODUCT(J2931:N2931),2)</f>
        <v>6.8</v>
      </c>
      <c r="P2931" s="112"/>
      <c r="Q2931" s="185"/>
    </row>
    <row r="2932" spans="1:17" collapsed="1">
      <c r="A2932" s="2">
        <v>7</v>
      </c>
      <c r="B2932" s="2">
        <v>10</v>
      </c>
      <c r="E2932" s="42" t="str">
        <f>CONCATENATE(A2932,".",B2932)</f>
        <v>7.10</v>
      </c>
      <c r="F2932" s="45" t="s">
        <v>4159</v>
      </c>
      <c r="G2932" s="13"/>
      <c r="H2932" s="14" t="s">
        <v>349</v>
      </c>
      <c r="I2932" s="15"/>
      <c r="J2932" s="16"/>
      <c r="K2932" s="17"/>
      <c r="L2932" s="16"/>
      <c r="M2932" s="17"/>
      <c r="N2932" s="18"/>
      <c r="O2932" s="61"/>
      <c r="P2932" s="185"/>
      <c r="Q2932" s="185"/>
    </row>
    <row r="2933" spans="1:17" hidden="1" outlineLevel="1">
      <c r="A2933" s="2">
        <v>7</v>
      </c>
      <c r="B2933" s="2">
        <v>10</v>
      </c>
      <c r="C2933" s="2">
        <f>1+C2932</f>
        <v>1</v>
      </c>
      <c r="E2933" s="20" t="str">
        <f>CONCATENATE(A2933,".",B2933,".",C2933)</f>
        <v>7.10.1</v>
      </c>
      <c r="F2933" s="21" t="s">
        <v>4160</v>
      </c>
      <c r="G2933" s="22" t="s">
        <v>351</v>
      </c>
      <c r="H2933" s="23" t="s">
        <v>352</v>
      </c>
      <c r="I2933" s="24" t="s">
        <v>45</v>
      </c>
      <c r="J2933" s="32"/>
      <c r="K2933" s="10"/>
      <c r="L2933" s="32"/>
      <c r="M2933" s="10"/>
      <c r="N2933" s="33"/>
      <c r="O2933" s="11">
        <f>SUM(O2934:O2935)</f>
        <v>194.53</v>
      </c>
      <c r="P2933" s="185"/>
      <c r="Q2933" s="185"/>
    </row>
    <row r="2934" spans="1:17" hidden="1" outlineLevel="2">
      <c r="E2934" s="59"/>
      <c r="F2934" s="60"/>
      <c r="G2934" s="34"/>
      <c r="H2934" s="30" t="s">
        <v>4124</v>
      </c>
      <c r="I2934" s="24"/>
      <c r="J2934" s="58"/>
      <c r="K2934" s="33">
        <v>53.02</v>
      </c>
      <c r="L2934" s="41"/>
      <c r="M2934" s="33">
        <v>4.18</v>
      </c>
      <c r="N2934" s="33"/>
      <c r="O2934" s="58">
        <f>ROUND(PRODUCT(J2934:N2934),2)</f>
        <v>221.62</v>
      </c>
    </row>
    <row r="2935" spans="1:17" hidden="1" outlineLevel="2">
      <c r="E2935" s="59"/>
      <c r="F2935" s="60"/>
      <c r="G2935" s="34"/>
      <c r="H2935" s="30" t="str">
        <f>_xlfn.CONCAT(H2934," - VÃO")</f>
        <v>CIRC LAB ESP  - PAREDE - VÃO</v>
      </c>
      <c r="I2935" s="24"/>
      <c r="J2935" s="58">
        <v>-1</v>
      </c>
      <c r="K2935" s="33">
        <f>0.9*3+1.6</f>
        <v>4.3000000000000007</v>
      </c>
      <c r="L2935" s="41"/>
      <c r="M2935" s="33">
        <v>2.1</v>
      </c>
      <c r="N2935" s="33">
        <v>3</v>
      </c>
      <c r="O2935" s="58">
        <f>ROUND(PRODUCT(J2935:N2935),2)</f>
        <v>-27.09</v>
      </c>
    </row>
    <row r="2936" spans="1:17" ht="30" hidden="1" outlineLevel="1">
      <c r="A2936" s="2">
        <v>7</v>
      </c>
      <c r="B2936" s="2">
        <v>10</v>
      </c>
      <c r="C2936" s="2">
        <f>1+C2933</f>
        <v>2</v>
      </c>
      <c r="E2936" s="20" t="str">
        <f>CONCATENATE(A2936,".",B2936,".",C2936)</f>
        <v>7.10.2</v>
      </c>
      <c r="F2936" s="21" t="s">
        <v>4161</v>
      </c>
      <c r="G2936" s="22" t="s">
        <v>354</v>
      </c>
      <c r="H2936" s="23" t="s">
        <v>355</v>
      </c>
      <c r="I2936" s="24" t="s">
        <v>45</v>
      </c>
      <c r="J2936" s="32"/>
      <c r="K2936" s="10"/>
      <c r="L2936" s="32"/>
      <c r="M2936" s="10"/>
      <c r="N2936" s="33"/>
      <c r="O2936" s="11">
        <f>SUM(O2937:O2938)</f>
        <v>194.53</v>
      </c>
      <c r="P2936" s="185"/>
      <c r="Q2936" s="185"/>
    </row>
    <row r="2937" spans="1:17" hidden="1" outlineLevel="2">
      <c r="E2937" s="59"/>
      <c r="F2937" s="60"/>
      <c r="G2937" s="34"/>
      <c r="H2937" s="30" t="s">
        <v>4124</v>
      </c>
      <c r="I2937" s="24"/>
      <c r="J2937" s="58"/>
      <c r="K2937" s="33">
        <v>53.02</v>
      </c>
      <c r="L2937" s="41"/>
      <c r="M2937" s="33">
        <v>4.18</v>
      </c>
      <c r="N2937" s="33"/>
      <c r="O2937" s="58">
        <f>ROUND(PRODUCT(J2937:N2937),2)</f>
        <v>221.62</v>
      </c>
    </row>
    <row r="2938" spans="1:17" hidden="1" outlineLevel="2">
      <c r="E2938" s="59"/>
      <c r="F2938" s="60"/>
      <c r="G2938" s="34"/>
      <c r="H2938" s="30" t="str">
        <f>_xlfn.CONCAT(H2937," - VÃO")</f>
        <v>CIRC LAB ESP  - PAREDE - VÃO</v>
      </c>
      <c r="I2938" s="24"/>
      <c r="J2938" s="58">
        <v>-1</v>
      </c>
      <c r="K2938" s="33">
        <f>0.9*3+1.6</f>
        <v>4.3000000000000007</v>
      </c>
      <c r="L2938" s="41"/>
      <c r="M2938" s="33">
        <v>2.1</v>
      </c>
      <c r="N2938" s="33">
        <v>3</v>
      </c>
      <c r="O2938" s="58">
        <f>ROUND(PRODUCT(J2938:N2938),2)</f>
        <v>-27.09</v>
      </c>
    </row>
    <row r="2939" spans="1:17" ht="30" hidden="1" outlineLevel="1">
      <c r="A2939" s="2">
        <v>7</v>
      </c>
      <c r="B2939" s="2">
        <v>10</v>
      </c>
      <c r="C2939" s="2">
        <f>1+C2936</f>
        <v>3</v>
      </c>
      <c r="E2939" s="20" t="str">
        <f>CONCATENATE(A2939,".",B2939,".",C2939)</f>
        <v>7.10.3</v>
      </c>
      <c r="F2939" s="21" t="s">
        <v>4162</v>
      </c>
      <c r="G2939" s="22" t="s">
        <v>357</v>
      </c>
      <c r="H2939" s="23" t="s">
        <v>358</v>
      </c>
      <c r="I2939" s="24" t="s">
        <v>45</v>
      </c>
      <c r="J2939" s="32"/>
      <c r="K2939" s="10"/>
      <c r="L2939" s="32"/>
      <c r="M2939" s="10"/>
      <c r="N2939" s="33"/>
      <c r="O2939" s="11">
        <f>SUM(O2940:O2941)</f>
        <v>194.53</v>
      </c>
      <c r="P2939" s="185"/>
      <c r="Q2939" s="185"/>
    </row>
    <row r="2940" spans="1:17" hidden="1" outlineLevel="2">
      <c r="E2940" s="59"/>
      <c r="F2940" s="60"/>
      <c r="G2940" s="34"/>
      <c r="H2940" s="30" t="s">
        <v>4124</v>
      </c>
      <c r="I2940" s="24"/>
      <c r="J2940" s="58"/>
      <c r="K2940" s="33">
        <v>53.02</v>
      </c>
      <c r="L2940" s="41"/>
      <c r="M2940" s="33">
        <v>4.18</v>
      </c>
      <c r="N2940" s="33"/>
      <c r="O2940" s="58">
        <f>ROUND(PRODUCT(J2940:N2940),2)</f>
        <v>221.62</v>
      </c>
    </row>
    <row r="2941" spans="1:17" hidden="1" outlineLevel="2">
      <c r="E2941" s="59"/>
      <c r="F2941" s="60"/>
      <c r="G2941" s="34"/>
      <c r="H2941" s="30" t="str">
        <f>_xlfn.CONCAT(H2940," - VÃO")</f>
        <v>CIRC LAB ESP  - PAREDE - VÃO</v>
      </c>
      <c r="I2941" s="24"/>
      <c r="J2941" s="58">
        <v>-1</v>
      </c>
      <c r="K2941" s="33">
        <f>0.9*3+1.6</f>
        <v>4.3000000000000007</v>
      </c>
      <c r="L2941" s="41"/>
      <c r="M2941" s="33">
        <v>2.1</v>
      </c>
      <c r="N2941" s="33">
        <v>3</v>
      </c>
      <c r="O2941" s="58">
        <f>ROUND(PRODUCT(J2941:N2941),2)</f>
        <v>-27.09</v>
      </c>
    </row>
    <row r="2942" spans="1:17" hidden="1" outlineLevel="1">
      <c r="A2942" s="2">
        <v>7</v>
      </c>
      <c r="B2942" s="2">
        <v>10</v>
      </c>
      <c r="C2942" s="2" t="e">
        <f>1+#REF!</f>
        <v>#REF!</v>
      </c>
      <c r="E2942" s="20" t="e">
        <f>CONCATENATE(A2942,".",B2942,".",C2942)</f>
        <v>#REF!</v>
      </c>
      <c r="F2942" s="21" t="s">
        <v>4163</v>
      </c>
      <c r="G2942" s="22" t="s">
        <v>360</v>
      </c>
      <c r="H2942" s="23" t="s">
        <v>361</v>
      </c>
      <c r="I2942" s="24" t="s">
        <v>45</v>
      </c>
      <c r="J2942" s="32"/>
      <c r="K2942" s="10"/>
      <c r="L2942" s="32"/>
      <c r="M2942" s="10"/>
      <c r="N2942" s="33"/>
      <c r="O2942" s="11">
        <f>SUM(O2943:O2949)</f>
        <v>371.52</v>
      </c>
      <c r="P2942" s="185"/>
      <c r="Q2942" s="185"/>
    </row>
    <row r="2943" spans="1:17" hidden="1" outlineLevel="2">
      <c r="E2943" s="59"/>
      <c r="F2943" s="60"/>
      <c r="G2943" s="34"/>
      <c r="H2943" s="30" t="s">
        <v>3012</v>
      </c>
      <c r="I2943" s="24"/>
      <c r="J2943" s="32"/>
      <c r="K2943" s="33"/>
      <c r="L2943" s="41"/>
      <c r="M2943" s="33"/>
      <c r="N2943" s="33">
        <v>5.63</v>
      </c>
      <c r="O2943" s="58">
        <f t="shared" ref="O2943:O2949" si="82">ROUND(PRODUCT(J2943:N2943),2)</f>
        <v>5.63</v>
      </c>
      <c r="P2943" s="185"/>
      <c r="Q2943" s="185"/>
    </row>
    <row r="2944" spans="1:17" hidden="1" outlineLevel="2">
      <c r="E2944" s="59"/>
      <c r="F2944" s="60"/>
      <c r="G2944" s="34"/>
      <c r="H2944" s="30" t="s">
        <v>3013</v>
      </c>
      <c r="I2944" s="24"/>
      <c r="J2944" s="32"/>
      <c r="K2944" s="33"/>
      <c r="L2944" s="41"/>
      <c r="M2944" s="33"/>
      <c r="N2944" s="33">
        <v>3.66</v>
      </c>
      <c r="O2944" s="58">
        <f t="shared" si="82"/>
        <v>3.66</v>
      </c>
      <c r="P2944" s="185"/>
      <c r="Q2944" s="185"/>
    </row>
    <row r="2945" spans="1:17" hidden="1" outlineLevel="2">
      <c r="E2945" s="59"/>
      <c r="F2945" s="60"/>
      <c r="G2945" s="34"/>
      <c r="H2945" s="30" t="s">
        <v>3041</v>
      </c>
      <c r="I2945" s="24"/>
      <c r="J2945" s="32"/>
      <c r="K2945" s="33"/>
      <c r="L2945" s="41"/>
      <c r="M2945" s="33"/>
      <c r="N2945" s="33">
        <v>6</v>
      </c>
      <c r="O2945" s="58">
        <f t="shared" si="82"/>
        <v>6</v>
      </c>
      <c r="P2945" s="185"/>
      <c r="Q2945" s="185"/>
    </row>
    <row r="2946" spans="1:17" hidden="1" outlineLevel="2">
      <c r="E2946" s="59"/>
      <c r="F2946" s="60"/>
      <c r="G2946" s="34"/>
      <c r="H2946" s="30" t="s">
        <v>4095</v>
      </c>
      <c r="I2946" s="24"/>
      <c r="J2946" s="32"/>
      <c r="K2946" s="33"/>
      <c r="L2946" s="41"/>
      <c r="M2946" s="33"/>
      <c r="N2946" s="33">
        <f>67.6+8.42</f>
        <v>76.02</v>
      </c>
      <c r="O2946" s="58">
        <f t="shared" si="82"/>
        <v>76.02</v>
      </c>
      <c r="P2946" s="185"/>
      <c r="Q2946" s="185"/>
    </row>
    <row r="2947" spans="1:17" hidden="1" outlineLevel="2">
      <c r="E2947" s="59"/>
      <c r="F2947" s="60"/>
      <c r="G2947" s="34"/>
      <c r="H2947" s="30" t="s">
        <v>4117</v>
      </c>
      <c r="I2947" s="24"/>
      <c r="J2947" s="32"/>
      <c r="K2947" s="33"/>
      <c r="L2947" s="41"/>
      <c r="M2947" s="33"/>
      <c r="N2947" s="33">
        <v>210.22</v>
      </c>
      <c r="O2947" s="58">
        <f t="shared" si="82"/>
        <v>210.22</v>
      </c>
      <c r="P2947" s="185"/>
      <c r="Q2947" s="185"/>
    </row>
    <row r="2948" spans="1:17" hidden="1" outlineLevel="2">
      <c r="E2948" s="59"/>
      <c r="F2948" s="60"/>
      <c r="G2948" s="34"/>
      <c r="H2948" s="30" t="s">
        <v>4118</v>
      </c>
      <c r="I2948" s="24"/>
      <c r="J2948" s="32"/>
      <c r="K2948" s="33"/>
      <c r="L2948" s="41"/>
      <c r="M2948" s="33"/>
      <c r="N2948" s="33">
        <v>44.11</v>
      </c>
      <c r="O2948" s="58">
        <f t="shared" si="82"/>
        <v>44.11</v>
      </c>
      <c r="P2948" s="185"/>
      <c r="Q2948" s="185"/>
    </row>
    <row r="2949" spans="1:17" hidden="1" outlineLevel="2">
      <c r="E2949" s="59"/>
      <c r="F2949" s="60"/>
      <c r="G2949" s="34"/>
      <c r="H2949" s="30" t="s">
        <v>4119</v>
      </c>
      <c r="I2949" s="24"/>
      <c r="J2949" s="32"/>
      <c r="K2949" s="33"/>
      <c r="L2949" s="41"/>
      <c r="M2949" s="33"/>
      <c r="N2949" s="33">
        <v>25.88</v>
      </c>
      <c r="O2949" s="58">
        <f t="shared" si="82"/>
        <v>25.88</v>
      </c>
      <c r="P2949" s="185"/>
      <c r="Q2949" s="185"/>
    </row>
    <row r="2950" spans="1:17" ht="30" hidden="1" outlineLevel="1">
      <c r="A2950" s="2">
        <v>7</v>
      </c>
      <c r="B2950" s="2">
        <v>10</v>
      </c>
      <c r="C2950" s="2" t="e">
        <f>1+C2942</f>
        <v>#REF!</v>
      </c>
      <c r="E2950" s="20" t="e">
        <f>CONCATENATE(A2950,".",B2950,".",C2950)</f>
        <v>#REF!</v>
      </c>
      <c r="F2950" s="21" t="s">
        <v>4164</v>
      </c>
      <c r="G2950" s="22" t="s">
        <v>363</v>
      </c>
      <c r="H2950" s="23" t="s">
        <v>364</v>
      </c>
      <c r="I2950" s="24" t="s">
        <v>45</v>
      </c>
      <c r="J2950" s="32"/>
      <c r="K2950" s="10"/>
      <c r="L2950" s="32"/>
      <c r="M2950" s="10"/>
      <c r="N2950" s="33"/>
      <c r="O2950" s="11">
        <f>SUM(O2951:O2957)</f>
        <v>371.52</v>
      </c>
      <c r="P2950" s="185"/>
      <c r="Q2950" s="185"/>
    </row>
    <row r="2951" spans="1:17" hidden="1" outlineLevel="2">
      <c r="E2951" s="59"/>
      <c r="F2951" s="60"/>
      <c r="G2951" s="34"/>
      <c r="H2951" s="30" t="s">
        <v>3012</v>
      </c>
      <c r="I2951" s="24"/>
      <c r="J2951" s="32"/>
      <c r="K2951" s="33"/>
      <c r="L2951" s="41"/>
      <c r="M2951" s="33"/>
      <c r="N2951" s="33">
        <v>5.63</v>
      </c>
      <c r="O2951" s="58">
        <f t="shared" ref="O2951:O2957" si="83">ROUND(PRODUCT(J2951:N2951),2)</f>
        <v>5.63</v>
      </c>
      <c r="P2951" s="185"/>
      <c r="Q2951" s="185"/>
    </row>
    <row r="2952" spans="1:17" hidden="1" outlineLevel="2">
      <c r="E2952" s="59"/>
      <c r="F2952" s="60"/>
      <c r="G2952" s="34"/>
      <c r="H2952" s="30" t="s">
        <v>3013</v>
      </c>
      <c r="I2952" s="24"/>
      <c r="J2952" s="32"/>
      <c r="K2952" s="33"/>
      <c r="L2952" s="41"/>
      <c r="M2952" s="33"/>
      <c r="N2952" s="33">
        <v>3.66</v>
      </c>
      <c r="O2952" s="58">
        <f t="shared" si="83"/>
        <v>3.66</v>
      </c>
      <c r="P2952" s="185"/>
      <c r="Q2952" s="185"/>
    </row>
    <row r="2953" spans="1:17" hidden="1" outlineLevel="2">
      <c r="E2953" s="59"/>
      <c r="F2953" s="60"/>
      <c r="G2953" s="34"/>
      <c r="H2953" s="30" t="s">
        <v>3041</v>
      </c>
      <c r="I2953" s="24"/>
      <c r="J2953" s="32"/>
      <c r="K2953" s="33"/>
      <c r="L2953" s="41"/>
      <c r="M2953" s="33"/>
      <c r="N2953" s="33">
        <v>6</v>
      </c>
      <c r="O2953" s="58">
        <f t="shared" si="83"/>
        <v>6</v>
      </c>
      <c r="P2953" s="185"/>
      <c r="Q2953" s="185"/>
    </row>
    <row r="2954" spans="1:17" hidden="1" outlineLevel="2">
      <c r="E2954" s="59"/>
      <c r="F2954" s="60"/>
      <c r="G2954" s="34"/>
      <c r="H2954" s="30" t="s">
        <v>4095</v>
      </c>
      <c r="I2954" s="24"/>
      <c r="J2954" s="32"/>
      <c r="K2954" s="33"/>
      <c r="L2954" s="41"/>
      <c r="M2954" s="33"/>
      <c r="N2954" s="33">
        <f>67.6+8.42</f>
        <v>76.02</v>
      </c>
      <c r="O2954" s="58">
        <f t="shared" si="83"/>
        <v>76.02</v>
      </c>
      <c r="P2954" s="185"/>
      <c r="Q2954" s="185"/>
    </row>
    <row r="2955" spans="1:17" hidden="1" outlineLevel="2">
      <c r="E2955" s="59"/>
      <c r="F2955" s="60"/>
      <c r="G2955" s="34"/>
      <c r="H2955" s="30" t="s">
        <v>4117</v>
      </c>
      <c r="I2955" s="24"/>
      <c r="J2955" s="32"/>
      <c r="K2955" s="33"/>
      <c r="L2955" s="41"/>
      <c r="M2955" s="33"/>
      <c r="N2955" s="33">
        <v>210.22</v>
      </c>
      <c r="O2955" s="58">
        <f t="shared" si="83"/>
        <v>210.22</v>
      </c>
      <c r="P2955" s="185"/>
      <c r="Q2955" s="185"/>
    </row>
    <row r="2956" spans="1:17" hidden="1" outlineLevel="2">
      <c r="E2956" s="59"/>
      <c r="F2956" s="60"/>
      <c r="G2956" s="34"/>
      <c r="H2956" s="30" t="s">
        <v>4118</v>
      </c>
      <c r="I2956" s="24"/>
      <c r="J2956" s="32"/>
      <c r="K2956" s="33"/>
      <c r="L2956" s="41"/>
      <c r="M2956" s="33"/>
      <c r="N2956" s="33">
        <v>44.11</v>
      </c>
      <c r="O2956" s="58">
        <f t="shared" si="83"/>
        <v>44.11</v>
      </c>
      <c r="P2956" s="185"/>
      <c r="Q2956" s="185"/>
    </row>
    <row r="2957" spans="1:17" hidden="1" outlineLevel="2">
      <c r="E2957" s="59"/>
      <c r="F2957" s="60"/>
      <c r="G2957" s="34"/>
      <c r="H2957" s="30" t="s">
        <v>4119</v>
      </c>
      <c r="I2957" s="24"/>
      <c r="J2957" s="32"/>
      <c r="K2957" s="33"/>
      <c r="L2957" s="41"/>
      <c r="M2957" s="33"/>
      <c r="N2957" s="33">
        <v>25.88</v>
      </c>
      <c r="O2957" s="58">
        <f t="shared" si="83"/>
        <v>25.88</v>
      </c>
      <c r="P2957" s="185"/>
      <c r="Q2957" s="185"/>
    </row>
    <row r="2958" spans="1:17" ht="30" hidden="1" outlineLevel="1">
      <c r="A2958" s="2">
        <v>7</v>
      </c>
      <c r="B2958" s="2">
        <v>10</v>
      </c>
      <c r="C2958" s="2" t="e">
        <f>1+C2950</f>
        <v>#REF!</v>
      </c>
      <c r="E2958" s="20" t="e">
        <f>CONCATENATE(A2958,".",B2958,".",C2958)</f>
        <v>#REF!</v>
      </c>
      <c r="F2958" s="21" t="s">
        <v>4165</v>
      </c>
      <c r="G2958" s="22" t="s">
        <v>366</v>
      </c>
      <c r="H2958" s="23" t="s">
        <v>367</v>
      </c>
      <c r="I2958" s="24" t="s">
        <v>45</v>
      </c>
      <c r="J2958" s="32"/>
      <c r="K2958" s="10"/>
      <c r="L2958" s="32"/>
      <c r="M2958" s="10"/>
      <c r="N2958" s="33"/>
      <c r="O2958" s="11">
        <f>SUM(O2959:O2965)</f>
        <v>371.52</v>
      </c>
      <c r="P2958" s="185"/>
      <c r="Q2958" s="185"/>
    </row>
    <row r="2959" spans="1:17" hidden="1" outlineLevel="2">
      <c r="E2959" s="59"/>
      <c r="F2959" s="60"/>
      <c r="G2959" s="34"/>
      <c r="H2959" s="30" t="s">
        <v>3012</v>
      </c>
      <c r="I2959" s="24"/>
      <c r="J2959" s="32"/>
      <c r="K2959" s="33"/>
      <c r="L2959" s="41"/>
      <c r="M2959" s="33"/>
      <c r="N2959" s="33">
        <v>5.63</v>
      </c>
      <c r="O2959" s="58">
        <f t="shared" ref="O2959:O2965" si="84">ROUND(PRODUCT(J2959:N2959),2)</f>
        <v>5.63</v>
      </c>
      <c r="P2959" s="185"/>
      <c r="Q2959" s="185"/>
    </row>
    <row r="2960" spans="1:17" hidden="1" outlineLevel="2">
      <c r="E2960" s="59"/>
      <c r="F2960" s="60"/>
      <c r="G2960" s="34"/>
      <c r="H2960" s="30" t="s">
        <v>3013</v>
      </c>
      <c r="I2960" s="24"/>
      <c r="J2960" s="32"/>
      <c r="K2960" s="33"/>
      <c r="L2960" s="41"/>
      <c r="M2960" s="33"/>
      <c r="N2960" s="33">
        <v>3.66</v>
      </c>
      <c r="O2960" s="58">
        <f t="shared" si="84"/>
        <v>3.66</v>
      </c>
      <c r="P2960" s="185"/>
      <c r="Q2960" s="185"/>
    </row>
    <row r="2961" spans="1:17" hidden="1" outlineLevel="2">
      <c r="E2961" s="59"/>
      <c r="F2961" s="60"/>
      <c r="G2961" s="34"/>
      <c r="H2961" s="30" t="s">
        <v>3041</v>
      </c>
      <c r="I2961" s="24"/>
      <c r="J2961" s="32"/>
      <c r="K2961" s="33"/>
      <c r="L2961" s="41"/>
      <c r="M2961" s="33"/>
      <c r="N2961" s="33">
        <v>6</v>
      </c>
      <c r="O2961" s="58">
        <f t="shared" si="84"/>
        <v>6</v>
      </c>
      <c r="P2961" s="185"/>
      <c r="Q2961" s="185"/>
    </row>
    <row r="2962" spans="1:17" hidden="1" outlineLevel="2">
      <c r="E2962" s="59"/>
      <c r="F2962" s="60"/>
      <c r="G2962" s="34"/>
      <c r="H2962" s="30" t="s">
        <v>4095</v>
      </c>
      <c r="I2962" s="24"/>
      <c r="J2962" s="32"/>
      <c r="K2962" s="33"/>
      <c r="L2962" s="41"/>
      <c r="M2962" s="33"/>
      <c r="N2962" s="33">
        <f>67.6+8.42</f>
        <v>76.02</v>
      </c>
      <c r="O2962" s="58">
        <f t="shared" si="84"/>
        <v>76.02</v>
      </c>
      <c r="P2962" s="185"/>
      <c r="Q2962" s="185"/>
    </row>
    <row r="2963" spans="1:17" hidden="1" outlineLevel="2">
      <c r="E2963" s="59"/>
      <c r="F2963" s="60"/>
      <c r="G2963" s="34"/>
      <c r="H2963" s="30" t="s">
        <v>4117</v>
      </c>
      <c r="I2963" s="24"/>
      <c r="J2963" s="32"/>
      <c r="K2963" s="33"/>
      <c r="L2963" s="41"/>
      <c r="M2963" s="33"/>
      <c r="N2963" s="33">
        <v>210.22</v>
      </c>
      <c r="O2963" s="58">
        <f t="shared" si="84"/>
        <v>210.22</v>
      </c>
      <c r="P2963" s="185"/>
      <c r="Q2963" s="185"/>
    </row>
    <row r="2964" spans="1:17" hidden="1" outlineLevel="2">
      <c r="E2964" s="59"/>
      <c r="F2964" s="60"/>
      <c r="G2964" s="34"/>
      <c r="H2964" s="30" t="s">
        <v>4118</v>
      </c>
      <c r="I2964" s="24"/>
      <c r="J2964" s="32"/>
      <c r="K2964" s="33"/>
      <c r="L2964" s="41"/>
      <c r="M2964" s="33"/>
      <c r="N2964" s="33">
        <v>44.11</v>
      </c>
      <c r="O2964" s="58">
        <f t="shared" si="84"/>
        <v>44.11</v>
      </c>
      <c r="P2964" s="185"/>
      <c r="Q2964" s="185"/>
    </row>
    <row r="2965" spans="1:17" hidden="1" outlineLevel="2">
      <c r="E2965" s="59"/>
      <c r="F2965" s="60"/>
      <c r="G2965" s="34"/>
      <c r="H2965" s="30" t="s">
        <v>4119</v>
      </c>
      <c r="I2965" s="24"/>
      <c r="J2965" s="32"/>
      <c r="K2965" s="33"/>
      <c r="L2965" s="41"/>
      <c r="M2965" s="33"/>
      <c r="N2965" s="33">
        <v>25.88</v>
      </c>
      <c r="O2965" s="58">
        <f t="shared" si="84"/>
        <v>25.88</v>
      </c>
      <c r="P2965" s="185"/>
      <c r="Q2965" s="185"/>
    </row>
    <row r="2966" spans="1:17" ht="30" hidden="1" outlineLevel="1">
      <c r="A2966" s="2">
        <v>7</v>
      </c>
      <c r="B2966" s="2">
        <v>10</v>
      </c>
      <c r="C2966" s="2" t="e">
        <f>1+C2958</f>
        <v>#REF!</v>
      </c>
      <c r="E2966" s="20" t="e">
        <f>CONCATENATE(A2966,".",B2966,".",C2966)</f>
        <v>#REF!</v>
      </c>
      <c r="F2966" s="21" t="s">
        <v>4166</v>
      </c>
      <c r="G2966" s="22" t="s">
        <v>369</v>
      </c>
      <c r="H2966" s="23" t="s">
        <v>370</v>
      </c>
      <c r="I2966" s="24" t="s">
        <v>45</v>
      </c>
      <c r="J2966" s="32"/>
      <c r="K2966" s="10"/>
      <c r="L2966" s="32"/>
      <c r="M2966" s="10"/>
      <c r="N2966" s="33"/>
      <c r="O2966" s="11">
        <f>SUM(O2967:O2967)</f>
        <v>47.04</v>
      </c>
      <c r="P2966" s="185"/>
      <c r="Q2966" s="185"/>
    </row>
    <row r="2967" spans="1:17" hidden="1" outlineLevel="2">
      <c r="E2967" s="20"/>
      <c r="F2967" s="21"/>
      <c r="G2967" s="22"/>
      <c r="H2967" s="30" t="s">
        <v>4167</v>
      </c>
      <c r="I2967" s="62"/>
      <c r="J2967" s="37">
        <v>2</v>
      </c>
      <c r="K2967" s="38">
        <v>1.6</v>
      </c>
      <c r="L2967" s="37"/>
      <c r="M2967" s="38">
        <v>2.1</v>
      </c>
      <c r="N2967" s="38">
        <v>7</v>
      </c>
      <c r="O2967" s="58">
        <f>ROUND(PRODUCT(J2967:N2967),2)</f>
        <v>47.04</v>
      </c>
      <c r="P2967" s="185"/>
      <c r="Q2967" s="185"/>
    </row>
    <row r="2968" spans="1:17" collapsed="1">
      <c r="A2968" s="2">
        <v>7</v>
      </c>
      <c r="B2968" s="2">
        <v>11</v>
      </c>
      <c r="E2968" s="42" t="str">
        <f>CONCATENATE(A2968,".",B2968)</f>
        <v>7.11</v>
      </c>
      <c r="F2968" s="108" t="s">
        <v>4168</v>
      </c>
      <c r="G2968" s="98"/>
      <c r="H2968" s="99" t="s">
        <v>468</v>
      </c>
      <c r="I2968" s="15"/>
      <c r="J2968" s="16"/>
      <c r="K2968" s="17"/>
      <c r="L2968" s="16"/>
      <c r="M2968" s="17"/>
      <c r="N2968" s="18"/>
      <c r="O2968" s="61"/>
      <c r="P2968" s="185"/>
      <c r="Q2968" s="185"/>
    </row>
    <row r="2969" spans="1:17" ht="30" hidden="1" outlineLevel="1">
      <c r="A2969" s="2">
        <v>7</v>
      </c>
      <c r="B2969" s="2">
        <v>11</v>
      </c>
      <c r="C2969" s="2">
        <v>1</v>
      </c>
      <c r="E2969" s="20" t="str">
        <f>CONCATENATE(A2969,".",B2969,".",C2969)</f>
        <v>7.11.1</v>
      </c>
      <c r="F2969" s="21" t="s">
        <v>4169</v>
      </c>
      <c r="G2969" s="65">
        <v>91926</v>
      </c>
      <c r="H2969" s="23" t="s">
        <v>519</v>
      </c>
      <c r="I2969" s="24" t="s">
        <v>144</v>
      </c>
      <c r="J2969" s="32"/>
      <c r="K2969" s="10"/>
      <c r="L2969" s="32"/>
      <c r="M2969" s="10"/>
      <c r="N2969" s="33"/>
      <c r="O2969" s="11">
        <f>SUM(O2970:O2971)</f>
        <v>12526</v>
      </c>
    </row>
    <row r="2970" spans="1:17" hidden="1" outlineLevel="2">
      <c r="E2970" s="20"/>
      <c r="F2970" s="21"/>
      <c r="G2970" s="65"/>
      <c r="H2970" s="30" t="s">
        <v>3746</v>
      </c>
      <c r="I2970" s="24"/>
      <c r="J2970" s="32"/>
      <c r="K2970" s="10"/>
      <c r="L2970" s="32"/>
      <c r="M2970" s="10"/>
      <c r="N2970" s="33">
        <v>3310</v>
      </c>
      <c r="O2970" s="31">
        <f>ROUND(PRODUCT(J2970:N2970),2)</f>
        <v>3310</v>
      </c>
      <c r="P2970" s="185"/>
      <c r="Q2970" s="185"/>
    </row>
    <row r="2971" spans="1:17" hidden="1" outlineLevel="2">
      <c r="E2971" s="59"/>
      <c r="F2971" s="60"/>
      <c r="G2971" s="34"/>
      <c r="H2971" s="30"/>
      <c r="I2971" s="35"/>
      <c r="J2971" s="41"/>
      <c r="K2971" s="10"/>
      <c r="L2971" s="32"/>
      <c r="M2971" s="10"/>
      <c r="N2971" s="33">
        <v>9216</v>
      </c>
      <c r="O2971" s="31">
        <f>ROUND(PRODUCT(J2971:N2971),2)</f>
        <v>9216</v>
      </c>
    </row>
    <row r="2972" spans="1:17" ht="30" hidden="1" outlineLevel="1">
      <c r="A2972" s="2">
        <v>7</v>
      </c>
      <c r="B2972" s="2">
        <v>11</v>
      </c>
      <c r="C2972" s="2">
        <f>1+C2969</f>
        <v>2</v>
      </c>
      <c r="E2972" s="20" t="str">
        <f>CONCATENATE(A2972,".",B2972,".",C2972)</f>
        <v>7.11.2</v>
      </c>
      <c r="F2972" s="21" t="s">
        <v>4170</v>
      </c>
      <c r="G2972" s="65">
        <v>91928</v>
      </c>
      <c r="H2972" s="23" t="s">
        <v>2397</v>
      </c>
      <c r="I2972" s="24" t="s">
        <v>144</v>
      </c>
      <c r="J2972" s="32"/>
      <c r="K2972" s="10"/>
      <c r="L2972" s="32"/>
      <c r="M2972" s="10"/>
      <c r="N2972" s="33"/>
      <c r="O2972" s="11">
        <f>SUM(O2973:O2974)</f>
        <v>5501</v>
      </c>
    </row>
    <row r="2973" spans="1:17" hidden="1" outlineLevel="2">
      <c r="E2973" s="20"/>
      <c r="F2973" s="21"/>
      <c r="G2973" s="65"/>
      <c r="H2973" s="30" t="s">
        <v>3746</v>
      </c>
      <c r="I2973" s="24"/>
      <c r="J2973" s="32"/>
      <c r="K2973" s="10"/>
      <c r="L2973" s="32"/>
      <c r="M2973" s="10"/>
      <c r="N2973" s="33">
        <v>2265</v>
      </c>
      <c r="O2973" s="31">
        <f>ROUND(PRODUCT(J2973:N2973),2)</f>
        <v>2265</v>
      </c>
      <c r="P2973" s="185"/>
      <c r="Q2973" s="185"/>
    </row>
    <row r="2974" spans="1:17" hidden="1" outlineLevel="2">
      <c r="E2974" s="59"/>
      <c r="F2974" s="60"/>
      <c r="G2974" s="34"/>
      <c r="H2974" s="30"/>
      <c r="I2974" s="35"/>
      <c r="J2974" s="41"/>
      <c r="K2974" s="10"/>
      <c r="L2974" s="32"/>
      <c r="M2974" s="10"/>
      <c r="N2974" s="33">
        <v>3236</v>
      </c>
      <c r="O2974" s="31">
        <f>ROUND(PRODUCT(J2974:N2974),2)</f>
        <v>3236</v>
      </c>
    </row>
    <row r="2975" spans="1:17" ht="30" hidden="1" outlineLevel="1">
      <c r="A2975" s="2">
        <v>7</v>
      </c>
      <c r="B2975" s="2">
        <v>11</v>
      </c>
      <c r="C2975" s="2">
        <f>1+C2972</f>
        <v>3</v>
      </c>
      <c r="E2975" s="20" t="str">
        <f>CONCATENATE(A2975,".",B2975,".",C2975)</f>
        <v>7.11.3</v>
      </c>
      <c r="F2975" s="21" t="s">
        <v>4171</v>
      </c>
      <c r="G2975" s="65">
        <v>92980</v>
      </c>
      <c r="H2975" s="23" t="s">
        <v>3734</v>
      </c>
      <c r="I2975" s="24" t="s">
        <v>144</v>
      </c>
      <c r="J2975" s="32"/>
      <c r="K2975" s="10"/>
      <c r="L2975" s="32"/>
      <c r="M2975" s="10"/>
      <c r="N2975" s="33"/>
      <c r="O2975" s="11">
        <f>SUM(O2976)</f>
        <v>70</v>
      </c>
    </row>
    <row r="2976" spans="1:17" hidden="1" outlineLevel="2">
      <c r="E2976" s="59"/>
      <c r="F2976" s="60"/>
      <c r="G2976" s="34"/>
      <c r="H2976" s="30"/>
      <c r="I2976" s="35"/>
      <c r="J2976" s="41"/>
      <c r="K2976" s="10"/>
      <c r="L2976" s="32"/>
      <c r="M2976" s="10"/>
      <c r="N2976" s="33">
        <v>70</v>
      </c>
      <c r="O2976" s="31">
        <f>ROUND(PRODUCT(J2976:N2976),2)</f>
        <v>70</v>
      </c>
    </row>
    <row r="2977" spans="1:15" ht="30" hidden="1" outlineLevel="1">
      <c r="A2977" s="2">
        <v>7</v>
      </c>
      <c r="B2977" s="2">
        <v>11</v>
      </c>
      <c r="C2977" s="2">
        <f>1+C2975</f>
        <v>4</v>
      </c>
      <c r="E2977" s="20" t="str">
        <f>CONCATENATE(A2977,".",B2977,".",C2977)</f>
        <v>7.11.4</v>
      </c>
      <c r="F2977" s="21" t="s">
        <v>4172</v>
      </c>
      <c r="G2977" s="65">
        <v>91931</v>
      </c>
      <c r="H2977" s="23" t="s">
        <v>3204</v>
      </c>
      <c r="I2977" s="24" t="s">
        <v>144</v>
      </c>
      <c r="J2977" s="32"/>
      <c r="K2977" s="10"/>
      <c r="L2977" s="32"/>
      <c r="M2977" s="10"/>
      <c r="N2977" s="33"/>
      <c r="O2977" s="11">
        <f>SUM(O2978)</f>
        <v>100</v>
      </c>
    </row>
    <row r="2978" spans="1:15" hidden="1" outlineLevel="2">
      <c r="E2978" s="59"/>
      <c r="F2978" s="60"/>
      <c r="G2978" s="34"/>
      <c r="H2978" s="30"/>
      <c r="I2978" s="35"/>
      <c r="J2978" s="41"/>
      <c r="K2978" s="10"/>
      <c r="L2978" s="32"/>
      <c r="M2978" s="10"/>
      <c r="N2978" s="33">
        <v>100</v>
      </c>
      <c r="O2978" s="31">
        <f>ROUND(PRODUCT(J2978:N2978),2)</f>
        <v>100</v>
      </c>
    </row>
    <row r="2979" spans="1:15" ht="45" hidden="1" outlineLevel="1">
      <c r="A2979" s="2">
        <v>7</v>
      </c>
      <c r="B2979" s="2">
        <v>11</v>
      </c>
      <c r="C2979" s="2">
        <f>1+C2977</f>
        <v>5</v>
      </c>
      <c r="E2979" s="20" t="str">
        <f>CONCATENATE(A2979,".",B2979,".",C2979)</f>
        <v>7.11.5</v>
      </c>
      <c r="F2979" s="21" t="s">
        <v>4173</v>
      </c>
      <c r="G2979" s="65">
        <v>101561</v>
      </c>
      <c r="H2979" s="23" t="s">
        <v>3738</v>
      </c>
      <c r="I2979" s="24" t="s">
        <v>144</v>
      </c>
      <c r="J2979" s="32"/>
      <c r="K2979" s="10"/>
      <c r="L2979" s="32"/>
      <c r="M2979" s="10"/>
      <c r="N2979" s="33"/>
      <c r="O2979" s="11">
        <f>SUM(O2980)</f>
        <v>50</v>
      </c>
    </row>
    <row r="2980" spans="1:15" hidden="1" outlineLevel="2">
      <c r="E2980" s="59"/>
      <c r="F2980" s="60"/>
      <c r="G2980" s="34"/>
      <c r="H2980" s="30"/>
      <c r="I2980" s="35"/>
      <c r="J2980" s="41"/>
      <c r="K2980" s="10"/>
      <c r="L2980" s="32"/>
      <c r="M2980" s="10"/>
      <c r="N2980" s="33">
        <v>50</v>
      </c>
      <c r="O2980" s="31">
        <f>ROUND(PRODUCT(J2980:N2980),2)</f>
        <v>50</v>
      </c>
    </row>
    <row r="2981" spans="1:15" ht="45" hidden="1" outlineLevel="1">
      <c r="A2981" s="2">
        <v>7</v>
      </c>
      <c r="B2981" s="2">
        <v>11</v>
      </c>
      <c r="C2981" s="2">
        <f>1+C2979</f>
        <v>6</v>
      </c>
      <c r="E2981" s="20" t="str">
        <f>CONCATENATE(A2981,".",B2981,".",C2981)</f>
        <v>7.11.6</v>
      </c>
      <c r="F2981" s="21" t="s">
        <v>4174</v>
      </c>
      <c r="G2981" s="65">
        <v>92984</v>
      </c>
      <c r="H2981" s="23" t="s">
        <v>4175</v>
      </c>
      <c r="I2981" s="24" t="s">
        <v>144</v>
      </c>
      <c r="J2981" s="32"/>
      <c r="K2981" s="10"/>
      <c r="L2981" s="32"/>
      <c r="M2981" s="10"/>
      <c r="N2981" s="33"/>
      <c r="O2981" s="11">
        <f>SUM(O2982)</f>
        <v>170</v>
      </c>
    </row>
    <row r="2982" spans="1:15" hidden="1" outlineLevel="2">
      <c r="E2982" s="59"/>
      <c r="F2982" s="60"/>
      <c r="G2982" s="34"/>
      <c r="H2982" s="30"/>
      <c r="I2982" s="35"/>
      <c r="J2982" s="41"/>
      <c r="K2982" s="10"/>
      <c r="L2982" s="32"/>
      <c r="M2982" s="10"/>
      <c r="N2982" s="33">
        <v>170</v>
      </c>
      <c r="O2982" s="31">
        <f>ROUND(PRODUCT(J2982:N2982),2)</f>
        <v>170</v>
      </c>
    </row>
    <row r="2983" spans="1:15" ht="45" hidden="1" outlineLevel="1">
      <c r="A2983" s="2">
        <v>7</v>
      </c>
      <c r="B2983" s="2">
        <v>11</v>
      </c>
      <c r="C2983" s="2">
        <f>1+C2981</f>
        <v>7</v>
      </c>
      <c r="E2983" s="20" t="str">
        <f>CONCATENATE(A2983,".",B2983,".",C2983)</f>
        <v>7.11.7</v>
      </c>
      <c r="F2983" s="21" t="s">
        <v>4176</v>
      </c>
      <c r="G2983" s="65">
        <v>92988</v>
      </c>
      <c r="H2983" s="23" t="s">
        <v>2391</v>
      </c>
      <c r="I2983" s="24" t="s">
        <v>144</v>
      </c>
      <c r="J2983" s="32"/>
      <c r="K2983" s="10"/>
      <c r="L2983" s="32"/>
      <c r="M2983" s="10"/>
      <c r="N2983" s="33"/>
      <c r="O2983" s="11">
        <f>SUM(O2984)</f>
        <v>240</v>
      </c>
    </row>
    <row r="2984" spans="1:15" hidden="1" outlineLevel="2">
      <c r="E2984" s="59"/>
      <c r="F2984" s="60"/>
      <c r="G2984" s="34"/>
      <c r="H2984" s="30"/>
      <c r="I2984" s="35"/>
      <c r="J2984" s="41"/>
      <c r="K2984" s="10"/>
      <c r="L2984" s="32"/>
      <c r="M2984" s="10"/>
      <c r="N2984" s="33">
        <v>240</v>
      </c>
      <c r="O2984" s="31">
        <f>ROUND(PRODUCT(J2984:N2984),2)</f>
        <v>240</v>
      </c>
    </row>
    <row r="2985" spans="1:15" ht="45" hidden="1" outlineLevel="1">
      <c r="A2985" s="2">
        <v>7</v>
      </c>
      <c r="B2985" s="2">
        <v>11</v>
      </c>
      <c r="C2985" s="2">
        <f>1+C2983</f>
        <v>8</v>
      </c>
      <c r="E2985" s="20" t="str">
        <f>CONCATENATE(A2985,".",B2985,".",C2985)</f>
        <v>7.11.8</v>
      </c>
      <c r="F2985" s="21" t="s">
        <v>4177</v>
      </c>
      <c r="G2985" s="65">
        <v>92990</v>
      </c>
      <c r="H2985" s="23" t="s">
        <v>4178</v>
      </c>
      <c r="I2985" s="24" t="s">
        <v>144</v>
      </c>
      <c r="J2985" s="32"/>
      <c r="K2985" s="10"/>
      <c r="L2985" s="32"/>
      <c r="M2985" s="10"/>
      <c r="N2985" s="33"/>
      <c r="O2985" s="11">
        <f>SUM(O2986)</f>
        <v>100</v>
      </c>
    </row>
    <row r="2986" spans="1:15" hidden="1" outlineLevel="2">
      <c r="E2986" s="59"/>
      <c r="F2986" s="60"/>
      <c r="G2986" s="34"/>
      <c r="H2986" s="30"/>
      <c r="I2986" s="35"/>
      <c r="J2986" s="41"/>
      <c r="K2986" s="10"/>
      <c r="L2986" s="32"/>
      <c r="M2986" s="10"/>
      <c r="N2986" s="33">
        <v>100</v>
      </c>
      <c r="O2986" s="31">
        <f>ROUND(PRODUCT(J2986:N2986),2)</f>
        <v>100</v>
      </c>
    </row>
    <row r="2987" spans="1:15" ht="45" hidden="1" outlineLevel="1">
      <c r="A2987" s="2">
        <v>7</v>
      </c>
      <c r="B2987" s="2">
        <v>11</v>
      </c>
      <c r="C2987" s="2">
        <f>1+C2985</f>
        <v>9</v>
      </c>
      <c r="E2987" s="20" t="str">
        <f>CONCATENATE(A2987,".",B2987,".",C2987)</f>
        <v>7.11.9</v>
      </c>
      <c r="F2987" s="21" t="s">
        <v>4179</v>
      </c>
      <c r="G2987" s="65">
        <v>92996</v>
      </c>
      <c r="H2987" s="23" t="s">
        <v>4180</v>
      </c>
      <c r="I2987" s="24" t="s">
        <v>144</v>
      </c>
      <c r="J2987" s="32"/>
      <c r="K2987" s="10"/>
      <c r="L2987" s="32"/>
      <c r="M2987" s="10"/>
      <c r="N2987" s="33"/>
      <c r="O2987" s="11">
        <f>SUM(O2988)</f>
        <v>150</v>
      </c>
    </row>
    <row r="2988" spans="1:15" hidden="1" outlineLevel="2">
      <c r="E2988" s="59"/>
      <c r="F2988" s="60"/>
      <c r="G2988" s="34"/>
      <c r="H2988" s="30"/>
      <c r="I2988" s="35"/>
      <c r="J2988" s="41"/>
      <c r="K2988" s="10"/>
      <c r="L2988" s="32"/>
      <c r="M2988" s="10"/>
      <c r="N2988" s="33">
        <v>150</v>
      </c>
      <c r="O2988" s="31">
        <f>ROUND(PRODUCT(J2988:N2988),2)</f>
        <v>150</v>
      </c>
    </row>
    <row r="2989" spans="1:15" ht="30" hidden="1" outlineLevel="1">
      <c r="A2989" s="2">
        <v>7</v>
      </c>
      <c r="B2989" s="2">
        <v>11</v>
      </c>
      <c r="C2989" s="2">
        <f>1+C2987</f>
        <v>10</v>
      </c>
      <c r="E2989" s="20" t="str">
        <f>CONCATENATE(A2989,".",B2989,".",C2989)</f>
        <v>7.11.10</v>
      </c>
      <c r="F2989" s="21" t="s">
        <v>4181</v>
      </c>
      <c r="G2989" s="65">
        <v>93653</v>
      </c>
      <c r="H2989" s="23" t="s">
        <v>513</v>
      </c>
      <c r="I2989" s="24" t="s">
        <v>36</v>
      </c>
      <c r="J2989" s="32"/>
      <c r="K2989" s="10"/>
      <c r="L2989" s="32"/>
      <c r="M2989" s="10"/>
      <c r="N2989" s="33"/>
      <c r="O2989" s="11">
        <f>SUM(O2990)</f>
        <v>19</v>
      </c>
    </row>
    <row r="2990" spans="1:15" hidden="1" outlineLevel="2">
      <c r="E2990" s="59"/>
      <c r="F2990" s="60"/>
      <c r="G2990" s="34"/>
      <c r="H2990" s="30"/>
      <c r="I2990" s="35"/>
      <c r="J2990" s="41"/>
      <c r="K2990" s="10"/>
      <c r="L2990" s="32"/>
      <c r="M2990" s="10"/>
      <c r="N2990" s="33">
        <v>19</v>
      </c>
      <c r="O2990" s="31">
        <f>ROUND(PRODUCT(J2990:N2990),2)</f>
        <v>19</v>
      </c>
    </row>
    <row r="2991" spans="1:15" ht="30" hidden="1" outlineLevel="1">
      <c r="A2991" s="2">
        <v>7</v>
      </c>
      <c r="B2991" s="2">
        <v>11</v>
      </c>
      <c r="C2991" s="2">
        <f>1+C2989</f>
        <v>11</v>
      </c>
      <c r="E2991" s="20" t="str">
        <f>CONCATENATE(A2991,".",B2991,".",C2991)</f>
        <v>7.11.11</v>
      </c>
      <c r="F2991" s="21" t="s">
        <v>4182</v>
      </c>
      <c r="G2991" s="65">
        <v>93654</v>
      </c>
      <c r="H2991" s="23" t="s">
        <v>510</v>
      </c>
      <c r="I2991" s="24" t="s">
        <v>36</v>
      </c>
      <c r="J2991" s="32"/>
      <c r="K2991" s="10"/>
      <c r="L2991" s="32"/>
      <c r="M2991" s="10"/>
      <c r="N2991" s="33"/>
      <c r="O2991" s="11">
        <f>SUM(O2992)</f>
        <v>14</v>
      </c>
    </row>
    <row r="2992" spans="1:15" hidden="1" outlineLevel="2">
      <c r="E2992" s="59"/>
      <c r="F2992" s="60"/>
      <c r="G2992" s="34"/>
      <c r="H2992" s="30"/>
      <c r="I2992" s="35"/>
      <c r="J2992" s="41"/>
      <c r="K2992" s="10"/>
      <c r="L2992" s="32"/>
      <c r="M2992" s="10"/>
      <c r="N2992" s="33">
        <f>9+5</f>
        <v>14</v>
      </c>
      <c r="O2992" s="31">
        <f>ROUND(PRODUCT(J2992:N2992),2)</f>
        <v>14</v>
      </c>
    </row>
    <row r="2993" spans="1:15" ht="30" hidden="1" outlineLevel="1">
      <c r="A2993" s="2">
        <v>7</v>
      </c>
      <c r="B2993" s="2">
        <v>11</v>
      </c>
      <c r="C2993" s="2">
        <f>1+C2991</f>
        <v>12</v>
      </c>
      <c r="E2993" s="20" t="str">
        <f>CONCATENATE(A2993,".",B2993,".",C2993)</f>
        <v>7.11.12</v>
      </c>
      <c r="F2993" s="21" t="s">
        <v>4183</v>
      </c>
      <c r="G2993" s="65">
        <v>93655</v>
      </c>
      <c r="H2993" s="23" t="s">
        <v>507</v>
      </c>
      <c r="I2993" s="24" t="s">
        <v>36</v>
      </c>
      <c r="J2993" s="32"/>
      <c r="K2993" s="10"/>
      <c r="L2993" s="32"/>
      <c r="M2993" s="10"/>
      <c r="N2993" s="33"/>
      <c r="O2993" s="11">
        <f>SUM(O2994)</f>
        <v>24</v>
      </c>
    </row>
    <row r="2994" spans="1:15" hidden="1" outlineLevel="2">
      <c r="E2994" s="59"/>
      <c r="F2994" s="60"/>
      <c r="G2994" s="34"/>
      <c r="H2994" s="30"/>
      <c r="I2994" s="35"/>
      <c r="J2994" s="41"/>
      <c r="K2994" s="10"/>
      <c r="L2994" s="32"/>
      <c r="M2994" s="10"/>
      <c r="N2994" s="33">
        <v>24</v>
      </c>
      <c r="O2994" s="31">
        <f>ROUND(PRODUCT(J2994:N2994),2)</f>
        <v>24</v>
      </c>
    </row>
    <row r="2995" spans="1:15" ht="30" hidden="1" outlineLevel="1">
      <c r="A2995" s="2">
        <v>7</v>
      </c>
      <c r="B2995" s="2">
        <v>11</v>
      </c>
      <c r="C2995" s="2">
        <f>1+C2993</f>
        <v>13</v>
      </c>
      <c r="E2995" s="20" t="str">
        <f>CONCATENATE(A2995,".",B2995,".",C2995)</f>
        <v>7.11.13</v>
      </c>
      <c r="F2995" s="21" t="s">
        <v>4184</v>
      </c>
      <c r="G2995" s="65">
        <v>93656</v>
      </c>
      <c r="H2995" s="23" t="s">
        <v>504</v>
      </c>
      <c r="I2995" s="24" t="s">
        <v>36</v>
      </c>
      <c r="J2995" s="32"/>
      <c r="K2995" s="10"/>
      <c r="L2995" s="32"/>
      <c r="M2995" s="10"/>
      <c r="N2995" s="33"/>
      <c r="O2995" s="11">
        <f>SUM(O2996)</f>
        <v>14</v>
      </c>
    </row>
    <row r="2996" spans="1:15" hidden="1" outlineLevel="2">
      <c r="E2996" s="59"/>
      <c r="F2996" s="60"/>
      <c r="G2996" s="34"/>
      <c r="H2996" s="30"/>
      <c r="I2996" s="35"/>
      <c r="J2996" s="41"/>
      <c r="K2996" s="10"/>
      <c r="L2996" s="32"/>
      <c r="M2996" s="10"/>
      <c r="N2996" s="33">
        <f>5+9</f>
        <v>14</v>
      </c>
      <c r="O2996" s="31">
        <f>ROUND(PRODUCT(J2996:N2996),2)</f>
        <v>14</v>
      </c>
    </row>
    <row r="2997" spans="1:15" ht="30" hidden="1" outlineLevel="1">
      <c r="A2997" s="2">
        <v>7</v>
      </c>
      <c r="B2997" s="2">
        <v>11</v>
      </c>
      <c r="C2997" s="2">
        <f>1+C2995</f>
        <v>14</v>
      </c>
      <c r="E2997" s="20" t="str">
        <f>CONCATENATE(A2997,".",B2997,".",C2997)</f>
        <v>7.11.14</v>
      </c>
      <c r="F2997" s="21" t="s">
        <v>4185</v>
      </c>
      <c r="G2997" s="65">
        <v>93669</v>
      </c>
      <c r="H2997" s="23" t="s">
        <v>483</v>
      </c>
      <c r="I2997" s="24" t="s">
        <v>36</v>
      </c>
      <c r="J2997" s="32"/>
      <c r="K2997" s="10"/>
      <c r="L2997" s="32"/>
      <c r="M2997" s="10"/>
      <c r="N2997" s="33"/>
      <c r="O2997" s="11">
        <f>SUM(O2998)</f>
        <v>12</v>
      </c>
    </row>
    <row r="2998" spans="1:15" hidden="1" outlineLevel="2">
      <c r="E2998" s="59"/>
      <c r="F2998" s="60"/>
      <c r="G2998" s="34"/>
      <c r="H2998" s="30"/>
      <c r="I2998" s="35"/>
      <c r="J2998" s="41"/>
      <c r="K2998" s="10"/>
      <c r="L2998" s="32"/>
      <c r="M2998" s="10"/>
      <c r="N2998" s="33">
        <v>12</v>
      </c>
      <c r="O2998" s="31">
        <f>ROUND(PRODUCT(J2998:N2998),2)</f>
        <v>12</v>
      </c>
    </row>
    <row r="2999" spans="1:15" ht="30" hidden="1" outlineLevel="1">
      <c r="A2999" s="2">
        <v>7</v>
      </c>
      <c r="B2999" s="2">
        <v>11</v>
      </c>
      <c r="C2999" s="2">
        <f>1+C2997</f>
        <v>15</v>
      </c>
      <c r="E2999" s="20" t="str">
        <f>CONCATENATE(A2999,".",B2999,".",C2999)</f>
        <v>7.11.15</v>
      </c>
      <c r="F2999" s="21" t="s">
        <v>4186</v>
      </c>
      <c r="G2999" s="65">
        <v>93671</v>
      </c>
      <c r="H2999" s="23" t="s">
        <v>606</v>
      </c>
      <c r="I2999" s="24" t="s">
        <v>36</v>
      </c>
      <c r="J2999" s="32"/>
      <c r="K2999" s="10"/>
      <c r="L2999" s="32"/>
      <c r="M2999" s="10"/>
      <c r="N2999" s="33"/>
      <c r="O2999" s="11">
        <f>SUM(O3000)</f>
        <v>7</v>
      </c>
    </row>
    <row r="3000" spans="1:15" hidden="1" outlineLevel="2">
      <c r="E3000" s="59"/>
      <c r="F3000" s="60"/>
      <c r="G3000" s="34"/>
      <c r="H3000" s="30"/>
      <c r="I3000" s="35"/>
      <c r="J3000" s="41"/>
      <c r="K3000" s="10"/>
      <c r="L3000" s="32"/>
      <c r="M3000" s="10"/>
      <c r="N3000" s="33">
        <f>5+2</f>
        <v>7</v>
      </c>
      <c r="O3000" s="31">
        <f>ROUND(PRODUCT(J3000:N3000),2)</f>
        <v>7</v>
      </c>
    </row>
    <row r="3001" spans="1:15" ht="30" hidden="1" outlineLevel="1">
      <c r="A3001" s="2">
        <v>7</v>
      </c>
      <c r="B3001" s="2">
        <v>11</v>
      </c>
      <c r="C3001" s="2">
        <f>1+C2999</f>
        <v>16</v>
      </c>
      <c r="E3001" s="20" t="str">
        <f>CONCATENATE(A3001,".",B3001,".",C3001)</f>
        <v>7.11.16</v>
      </c>
      <c r="F3001" s="21" t="s">
        <v>4187</v>
      </c>
      <c r="G3001" s="65">
        <v>93673</v>
      </c>
      <c r="H3001" s="23" t="s">
        <v>474</v>
      </c>
      <c r="I3001" s="24" t="s">
        <v>36</v>
      </c>
      <c r="J3001" s="32"/>
      <c r="K3001" s="10"/>
      <c r="L3001" s="32"/>
      <c r="M3001" s="10"/>
      <c r="N3001" s="33"/>
      <c r="O3001" s="11">
        <f>SUM(O3002)</f>
        <v>4</v>
      </c>
    </row>
    <row r="3002" spans="1:15" hidden="1" outlineLevel="2">
      <c r="E3002" s="59"/>
      <c r="F3002" s="60"/>
      <c r="G3002" s="34"/>
      <c r="H3002" s="30"/>
      <c r="I3002" s="35"/>
      <c r="J3002" s="41"/>
      <c r="K3002" s="10"/>
      <c r="L3002" s="32"/>
      <c r="M3002" s="10"/>
      <c r="N3002" s="33">
        <v>4</v>
      </c>
      <c r="O3002" s="31">
        <f>ROUND(PRODUCT(J3002:N3002),2)</f>
        <v>4</v>
      </c>
    </row>
    <row r="3003" spans="1:15" ht="30" hidden="1" outlineLevel="1">
      <c r="A3003" s="2">
        <v>7</v>
      </c>
      <c r="B3003" s="2">
        <v>11</v>
      </c>
      <c r="C3003" s="2">
        <f>1+C3001</f>
        <v>17</v>
      </c>
      <c r="E3003" s="20" t="str">
        <f>CONCATENATE(A3003,".",B3003,".",C3003)</f>
        <v>7.11.17</v>
      </c>
      <c r="F3003" s="21" t="s">
        <v>4188</v>
      </c>
      <c r="G3003" s="65">
        <v>101894</v>
      </c>
      <c r="H3003" s="23" t="s">
        <v>3766</v>
      </c>
      <c r="I3003" s="24" t="s">
        <v>36</v>
      </c>
      <c r="J3003" s="32"/>
      <c r="K3003" s="10"/>
      <c r="L3003" s="32"/>
      <c r="M3003" s="10"/>
      <c r="N3003" s="33"/>
      <c r="O3003" s="11">
        <f>SUM(O3004)</f>
        <v>2</v>
      </c>
    </row>
    <row r="3004" spans="1:15" hidden="1" outlineLevel="2">
      <c r="E3004" s="59"/>
      <c r="F3004" s="60"/>
      <c r="G3004" s="34"/>
      <c r="H3004" s="30"/>
      <c r="I3004" s="35"/>
      <c r="J3004" s="41"/>
      <c r="K3004" s="10"/>
      <c r="L3004" s="32"/>
      <c r="M3004" s="10"/>
      <c r="N3004" s="33">
        <v>2</v>
      </c>
      <c r="O3004" s="31">
        <f>ROUND(PRODUCT(J3004:N3004),2)</f>
        <v>2</v>
      </c>
    </row>
    <row r="3005" spans="1:15" hidden="1" outlineLevel="1">
      <c r="A3005" s="2">
        <v>7</v>
      </c>
      <c r="B3005" s="2">
        <v>11</v>
      </c>
      <c r="C3005" s="2">
        <f>1+C3003</f>
        <v>18</v>
      </c>
      <c r="E3005" s="20" t="str">
        <f>CONCATENATE(A3005,".",B3005,".",C3005)</f>
        <v>7.11.18</v>
      </c>
      <c r="F3005" s="21" t="s">
        <v>4189</v>
      </c>
      <c r="G3005" s="22" t="s">
        <v>4190</v>
      </c>
      <c r="H3005" s="23" t="s">
        <v>4191</v>
      </c>
      <c r="I3005" s="24" t="s">
        <v>36</v>
      </c>
      <c r="J3005" s="32"/>
      <c r="K3005" s="10"/>
      <c r="L3005" s="32"/>
      <c r="M3005" s="10"/>
      <c r="N3005" s="33"/>
      <c r="O3005" s="11">
        <f>SUM(O3006)</f>
        <v>280</v>
      </c>
    </row>
    <row r="3006" spans="1:15" hidden="1" outlineLevel="2">
      <c r="E3006" s="59"/>
      <c r="F3006" s="60"/>
      <c r="G3006" s="34"/>
      <c r="H3006" s="30"/>
      <c r="I3006" s="35"/>
      <c r="J3006" s="41"/>
      <c r="K3006" s="10"/>
      <c r="L3006" s="32"/>
      <c r="M3006" s="10"/>
      <c r="N3006" s="33">
        <v>280</v>
      </c>
      <c r="O3006" s="31">
        <f>ROUND(PRODUCT(J3006:N3006),2)</f>
        <v>280</v>
      </c>
    </row>
    <row r="3007" spans="1:15" ht="45" hidden="1" outlineLevel="1">
      <c r="A3007" s="2">
        <v>7</v>
      </c>
      <c r="B3007" s="2">
        <v>11</v>
      </c>
      <c r="C3007" s="2">
        <f>1+C3005</f>
        <v>19</v>
      </c>
      <c r="E3007" s="20" t="str">
        <f>CONCATENATE(A3007,".",B3007,".",C3007)</f>
        <v>7.11.19</v>
      </c>
      <c r="F3007" s="21" t="s">
        <v>4192</v>
      </c>
      <c r="G3007" s="65">
        <v>91855</v>
      </c>
      <c r="H3007" s="23" t="s">
        <v>3776</v>
      </c>
      <c r="I3007" s="24" t="s">
        <v>144</v>
      </c>
      <c r="J3007" s="32"/>
      <c r="K3007" s="10"/>
      <c r="L3007" s="32"/>
      <c r="M3007" s="10"/>
      <c r="N3007" s="33"/>
      <c r="O3007" s="11">
        <f>SUM(O3008)</f>
        <v>800</v>
      </c>
    </row>
    <row r="3008" spans="1:15" hidden="1" outlineLevel="2">
      <c r="E3008" s="59"/>
      <c r="F3008" s="60"/>
      <c r="G3008" s="34"/>
      <c r="H3008" s="30"/>
      <c r="I3008" s="35"/>
      <c r="J3008" s="41"/>
      <c r="K3008" s="10"/>
      <c r="L3008" s="32"/>
      <c r="M3008" s="10"/>
      <c r="N3008" s="33">
        <v>800</v>
      </c>
      <c r="O3008" s="31">
        <f>ROUND(PRODUCT(J3008:N3008),2)</f>
        <v>800</v>
      </c>
    </row>
    <row r="3009" spans="1:15" ht="30" hidden="1" outlineLevel="1">
      <c r="A3009" s="2">
        <v>7</v>
      </c>
      <c r="B3009" s="2">
        <v>11</v>
      </c>
      <c r="C3009" s="2">
        <f>1+C3007</f>
        <v>20</v>
      </c>
      <c r="E3009" s="20" t="str">
        <f>CONCATENATE(A3009,".",B3009,".",C3009)</f>
        <v>7.11.20</v>
      </c>
      <c r="F3009" s="21" t="s">
        <v>4193</v>
      </c>
      <c r="G3009" s="65">
        <v>91863</v>
      </c>
      <c r="H3009" s="23" t="s">
        <v>2426</v>
      </c>
      <c r="I3009" s="24" t="s">
        <v>144</v>
      </c>
      <c r="J3009" s="32"/>
      <c r="K3009" s="10"/>
      <c r="L3009" s="32"/>
      <c r="M3009" s="10"/>
      <c r="N3009" s="33"/>
      <c r="O3009" s="11">
        <f>SUM(O3010)</f>
        <v>10</v>
      </c>
    </row>
    <row r="3010" spans="1:15" hidden="1" outlineLevel="2">
      <c r="E3010" s="59"/>
      <c r="F3010" s="60"/>
      <c r="G3010" s="34"/>
      <c r="H3010" s="30"/>
      <c r="I3010" s="35"/>
      <c r="J3010" s="41"/>
      <c r="K3010" s="10"/>
      <c r="L3010" s="32"/>
      <c r="M3010" s="10"/>
      <c r="N3010" s="33">
        <v>10</v>
      </c>
      <c r="O3010" s="31">
        <f>ROUND(PRODUCT(J3010:N3010),2)</f>
        <v>10</v>
      </c>
    </row>
    <row r="3011" spans="1:15" ht="30" hidden="1" outlineLevel="1">
      <c r="A3011" s="2">
        <v>7</v>
      </c>
      <c r="B3011" s="2">
        <v>11</v>
      </c>
      <c r="C3011" s="2">
        <f>1+C3009</f>
        <v>21</v>
      </c>
      <c r="E3011" s="20" t="str">
        <f>CONCATENATE(A3011,".",B3011,".",C3011)</f>
        <v>7.11.21</v>
      </c>
      <c r="F3011" s="21" t="s">
        <v>4194</v>
      </c>
      <c r="G3011" s="65">
        <v>93009</v>
      </c>
      <c r="H3011" s="23" t="s">
        <v>3784</v>
      </c>
      <c r="I3011" s="24" t="s">
        <v>144</v>
      </c>
      <c r="J3011" s="32"/>
      <c r="K3011" s="10"/>
      <c r="L3011" s="32"/>
      <c r="M3011" s="10"/>
      <c r="N3011" s="33"/>
      <c r="O3011" s="11">
        <f>SUM(O3012)</f>
        <v>150</v>
      </c>
    </row>
    <row r="3012" spans="1:15" hidden="1" outlineLevel="2">
      <c r="E3012" s="59"/>
      <c r="F3012" s="60"/>
      <c r="G3012" s="34"/>
      <c r="H3012" s="30"/>
      <c r="I3012" s="35"/>
      <c r="J3012" s="41"/>
      <c r="K3012" s="10"/>
      <c r="L3012" s="32"/>
      <c r="M3012" s="10"/>
      <c r="N3012" s="33">
        <v>150</v>
      </c>
      <c r="O3012" s="31">
        <f>ROUND(PRODUCT(J3012:N3012),2)</f>
        <v>150</v>
      </c>
    </row>
    <row r="3013" spans="1:15" ht="30" hidden="1" outlineLevel="1">
      <c r="A3013" s="2">
        <v>7</v>
      </c>
      <c r="B3013" s="2">
        <v>11</v>
      </c>
      <c r="C3013" s="2">
        <f>1+C3011</f>
        <v>22</v>
      </c>
      <c r="E3013" s="20" t="str">
        <f>CONCATENATE(A3013,".",B3013,".",C3013)</f>
        <v>7.11.22</v>
      </c>
      <c r="F3013" s="21" t="s">
        <v>4195</v>
      </c>
      <c r="G3013" s="65">
        <v>91955</v>
      </c>
      <c r="H3013" s="23" t="s">
        <v>567</v>
      </c>
      <c r="I3013" s="24" t="s">
        <v>36</v>
      </c>
      <c r="J3013" s="32"/>
      <c r="K3013" s="10"/>
      <c r="L3013" s="32"/>
      <c r="M3013" s="10"/>
      <c r="N3013" s="33"/>
      <c r="O3013" s="11">
        <f>SUM(O3014)</f>
        <v>6</v>
      </c>
    </row>
    <row r="3014" spans="1:15" hidden="1" outlineLevel="2">
      <c r="E3014" s="59"/>
      <c r="F3014" s="60"/>
      <c r="G3014" s="34"/>
      <c r="H3014" s="30"/>
      <c r="I3014" s="35"/>
      <c r="J3014" s="41"/>
      <c r="K3014" s="10"/>
      <c r="L3014" s="32"/>
      <c r="M3014" s="10"/>
      <c r="N3014" s="33">
        <v>6</v>
      </c>
      <c r="O3014" s="31">
        <f>ROUND(PRODUCT(J3014:N3014),2)</f>
        <v>6</v>
      </c>
    </row>
    <row r="3015" spans="1:15" ht="30" hidden="1" outlineLevel="1">
      <c r="A3015" s="2">
        <v>7</v>
      </c>
      <c r="B3015" s="2">
        <v>11</v>
      </c>
      <c r="C3015" s="2">
        <f>1+C3013</f>
        <v>23</v>
      </c>
      <c r="E3015" s="20" t="str">
        <f>CONCATENATE(A3015,".",B3015,".",C3015)</f>
        <v>7.11.23</v>
      </c>
      <c r="F3015" s="21" t="s">
        <v>4196</v>
      </c>
      <c r="G3015" s="65">
        <v>91961</v>
      </c>
      <c r="H3015" s="23" t="s">
        <v>570</v>
      </c>
      <c r="I3015" s="24" t="s">
        <v>36</v>
      </c>
      <c r="J3015" s="32"/>
      <c r="K3015" s="10"/>
      <c r="L3015" s="32"/>
      <c r="M3015" s="10"/>
      <c r="N3015" s="33"/>
      <c r="O3015" s="11">
        <f>SUM(O3016)</f>
        <v>2</v>
      </c>
    </row>
    <row r="3016" spans="1:15" hidden="1" outlineLevel="2">
      <c r="E3016" s="59"/>
      <c r="F3016" s="60"/>
      <c r="G3016" s="34"/>
      <c r="H3016" s="30"/>
      <c r="I3016" s="35"/>
      <c r="J3016" s="41"/>
      <c r="K3016" s="10"/>
      <c r="L3016" s="32"/>
      <c r="M3016" s="10"/>
      <c r="N3016" s="33">
        <v>2</v>
      </c>
      <c r="O3016" s="31">
        <f>ROUND(PRODUCT(J3016:N3016),2)</f>
        <v>2</v>
      </c>
    </row>
    <row r="3017" spans="1:15" ht="30" hidden="1" outlineLevel="1">
      <c r="A3017" s="2">
        <v>7</v>
      </c>
      <c r="B3017" s="2">
        <v>11</v>
      </c>
      <c r="C3017" s="2">
        <f>1+C3015</f>
        <v>24</v>
      </c>
      <c r="E3017" s="20" t="str">
        <f>CONCATENATE(A3017,".",B3017,".",C3017)</f>
        <v>7.11.24</v>
      </c>
      <c r="F3017" s="21" t="s">
        <v>4197</v>
      </c>
      <c r="G3017" s="65">
        <v>91953</v>
      </c>
      <c r="H3017" s="23" t="s">
        <v>558</v>
      </c>
      <c r="I3017" s="24" t="s">
        <v>36</v>
      </c>
      <c r="J3017" s="32"/>
      <c r="K3017" s="10"/>
      <c r="L3017" s="32"/>
      <c r="M3017" s="10"/>
      <c r="N3017" s="33"/>
      <c r="O3017" s="11">
        <f>SUM(O3018)</f>
        <v>13</v>
      </c>
    </row>
    <row r="3018" spans="1:15" hidden="1" outlineLevel="2">
      <c r="E3018" s="59"/>
      <c r="F3018" s="60"/>
      <c r="G3018" s="34"/>
      <c r="H3018" s="30"/>
      <c r="I3018" s="35"/>
      <c r="J3018" s="41"/>
      <c r="K3018" s="10"/>
      <c r="L3018" s="32"/>
      <c r="M3018" s="10"/>
      <c r="N3018" s="33">
        <v>13</v>
      </c>
      <c r="O3018" s="31">
        <f>ROUND(PRODUCT(J3018:N3018),2)</f>
        <v>13</v>
      </c>
    </row>
    <row r="3019" spans="1:15" ht="30" hidden="1" outlineLevel="1">
      <c r="A3019" s="2">
        <v>7</v>
      </c>
      <c r="B3019" s="2">
        <v>11</v>
      </c>
      <c r="C3019" s="2">
        <f>1+C3017</f>
        <v>25</v>
      </c>
      <c r="E3019" s="20" t="str">
        <f>CONCATENATE(A3019,".",B3019,".",C3019)</f>
        <v>7.11.25</v>
      </c>
      <c r="F3019" s="21" t="s">
        <v>4198</v>
      </c>
      <c r="G3019" s="65">
        <v>91959</v>
      </c>
      <c r="H3019" s="23" t="s">
        <v>579</v>
      </c>
      <c r="I3019" s="24" t="s">
        <v>36</v>
      </c>
      <c r="J3019" s="32"/>
      <c r="K3019" s="10"/>
      <c r="L3019" s="32"/>
      <c r="M3019" s="10"/>
      <c r="N3019" s="33"/>
      <c r="O3019" s="11">
        <f>SUM(O3020)</f>
        <v>24</v>
      </c>
    </row>
    <row r="3020" spans="1:15" hidden="1" outlineLevel="2">
      <c r="E3020" s="59"/>
      <c r="F3020" s="60"/>
      <c r="G3020" s="34"/>
      <c r="H3020" s="30"/>
      <c r="I3020" s="35"/>
      <c r="J3020" s="41"/>
      <c r="K3020" s="10"/>
      <c r="L3020" s="32"/>
      <c r="M3020" s="10"/>
      <c r="N3020" s="33">
        <v>24</v>
      </c>
      <c r="O3020" s="31">
        <f>ROUND(PRODUCT(J3020:N3020),2)</f>
        <v>24</v>
      </c>
    </row>
    <row r="3021" spans="1:15" ht="30" hidden="1" outlineLevel="1">
      <c r="A3021" s="2">
        <v>7</v>
      </c>
      <c r="B3021" s="2">
        <v>11</v>
      </c>
      <c r="C3021" s="2">
        <f>1+C3019</f>
        <v>26</v>
      </c>
      <c r="E3021" s="20" t="str">
        <f>CONCATENATE(A3021,".",B3021,".",C3021)</f>
        <v>7.11.26</v>
      </c>
      <c r="F3021" s="21" t="s">
        <v>4199</v>
      </c>
      <c r="G3021" s="65">
        <v>91967</v>
      </c>
      <c r="H3021" s="23" t="s">
        <v>582</v>
      </c>
      <c r="I3021" s="24" t="s">
        <v>36</v>
      </c>
      <c r="J3021" s="32"/>
      <c r="K3021" s="10"/>
      <c r="L3021" s="32"/>
      <c r="M3021" s="10"/>
      <c r="N3021" s="33"/>
      <c r="O3021" s="11">
        <f>SUM(O3022)</f>
        <v>2</v>
      </c>
    </row>
    <row r="3022" spans="1:15" hidden="1" outlineLevel="2">
      <c r="E3022" s="59"/>
      <c r="F3022" s="60"/>
      <c r="G3022" s="34"/>
      <c r="H3022" s="30"/>
      <c r="I3022" s="35"/>
      <c r="J3022" s="41"/>
      <c r="K3022" s="10"/>
      <c r="L3022" s="32"/>
      <c r="M3022" s="10"/>
      <c r="N3022" s="33">
        <v>2</v>
      </c>
      <c r="O3022" s="31">
        <f>ROUND(PRODUCT(J3022:N3022),2)</f>
        <v>2</v>
      </c>
    </row>
    <row r="3023" spans="1:15" ht="45" hidden="1" outlineLevel="1">
      <c r="A3023" s="2">
        <v>7</v>
      </c>
      <c r="B3023" s="2">
        <v>11</v>
      </c>
      <c r="C3023" s="2">
        <f>1+C3021</f>
        <v>27</v>
      </c>
      <c r="E3023" s="20" t="str">
        <f>CONCATENATE(A3023,".",B3023,".",C3023)</f>
        <v>7.11.27</v>
      </c>
      <c r="F3023" s="21" t="s">
        <v>4200</v>
      </c>
      <c r="G3023" s="65">
        <v>101879</v>
      </c>
      <c r="H3023" s="23" t="s">
        <v>691</v>
      </c>
      <c r="I3023" s="24" t="s">
        <v>36</v>
      </c>
      <c r="J3023" s="32"/>
      <c r="K3023" s="10"/>
      <c r="L3023" s="32"/>
      <c r="M3023" s="10"/>
      <c r="N3023" s="33"/>
      <c r="O3023" s="11">
        <f>SUM(O3024)</f>
        <v>3</v>
      </c>
    </row>
    <row r="3024" spans="1:15" hidden="1" outlineLevel="2">
      <c r="E3024" s="59"/>
      <c r="F3024" s="60"/>
      <c r="G3024" s="34"/>
      <c r="H3024" s="30"/>
      <c r="I3024" s="35"/>
      <c r="J3024" s="41"/>
      <c r="K3024" s="10"/>
      <c r="L3024" s="32"/>
      <c r="M3024" s="10"/>
      <c r="N3024" s="33">
        <v>3</v>
      </c>
      <c r="O3024" s="31">
        <f>ROUND(PRODUCT(J3024:N3024),2)</f>
        <v>3</v>
      </c>
    </row>
    <row r="3025" spans="1:16" ht="30" hidden="1" outlineLevel="1">
      <c r="A3025" s="2">
        <v>7</v>
      </c>
      <c r="B3025" s="2">
        <v>11</v>
      </c>
      <c r="C3025" s="2">
        <f>1+C3023</f>
        <v>28</v>
      </c>
      <c r="E3025" s="20" t="str">
        <f>CONCATENATE(A3025,".",B3025,".",C3025)</f>
        <v>7.11.28</v>
      </c>
      <c r="F3025" s="21" t="s">
        <v>4201</v>
      </c>
      <c r="G3025" s="65">
        <v>101876</v>
      </c>
      <c r="H3025" s="23" t="s">
        <v>4202</v>
      </c>
      <c r="I3025" s="24" t="s">
        <v>36</v>
      </c>
      <c r="J3025" s="32"/>
      <c r="K3025" s="10"/>
      <c r="L3025" s="32"/>
      <c r="M3025" s="10"/>
      <c r="N3025" s="33"/>
      <c r="O3025" s="11">
        <f>SUM(O3026)</f>
        <v>4</v>
      </c>
    </row>
    <row r="3026" spans="1:16" hidden="1" outlineLevel="2">
      <c r="E3026" s="59"/>
      <c r="F3026" s="60"/>
      <c r="G3026" s="34"/>
      <c r="H3026" s="30"/>
      <c r="I3026" s="35"/>
      <c r="J3026" s="41"/>
      <c r="K3026" s="10"/>
      <c r="L3026" s="32"/>
      <c r="M3026" s="10"/>
      <c r="N3026" s="33">
        <v>4</v>
      </c>
      <c r="O3026" s="31">
        <f>ROUND(PRODUCT(J3026:N3026),2)</f>
        <v>4</v>
      </c>
    </row>
    <row r="3027" spans="1:16" ht="30" hidden="1" outlineLevel="1">
      <c r="A3027" s="2">
        <v>7</v>
      </c>
      <c r="B3027" s="2">
        <v>11</v>
      </c>
      <c r="C3027" s="2">
        <f>1+C3025</f>
        <v>29</v>
      </c>
      <c r="E3027" s="20" t="str">
        <f>CONCATENATE(A3027,".",B3027,".",C3027)</f>
        <v>7.11.29</v>
      </c>
      <c r="F3027" s="21" t="s">
        <v>4203</v>
      </c>
      <c r="G3027" s="65">
        <v>92008</v>
      </c>
      <c r="H3027" s="23" t="s">
        <v>588</v>
      </c>
      <c r="I3027" s="24" t="s">
        <v>36</v>
      </c>
      <c r="J3027" s="32"/>
      <c r="K3027" s="10"/>
      <c r="L3027" s="32"/>
      <c r="M3027" s="10"/>
      <c r="N3027" s="33"/>
      <c r="O3027" s="11">
        <f>SUM(O3028)</f>
        <v>62</v>
      </c>
    </row>
    <row r="3028" spans="1:16" hidden="1" outlineLevel="2">
      <c r="E3028" s="59"/>
      <c r="F3028" s="60"/>
      <c r="G3028" s="34"/>
      <c r="H3028" s="30"/>
      <c r="I3028" s="35"/>
      <c r="J3028" s="41"/>
      <c r="K3028" s="10"/>
      <c r="L3028" s="32"/>
      <c r="M3028" s="10"/>
      <c r="N3028" s="33">
        <v>62</v>
      </c>
      <c r="O3028" s="31">
        <f>ROUND(PRODUCT(J3028:N3028),2)</f>
        <v>62</v>
      </c>
    </row>
    <row r="3029" spans="1:16" ht="30" hidden="1" outlineLevel="1">
      <c r="A3029" s="2">
        <v>7</v>
      </c>
      <c r="B3029" s="2">
        <v>11</v>
      </c>
      <c r="C3029" s="2">
        <f>1+C3027</f>
        <v>30</v>
      </c>
      <c r="E3029" s="20" t="str">
        <f>CONCATENATE(A3029,".",B3029,".",C3029)</f>
        <v>7.11.30</v>
      </c>
      <c r="F3029" s="21" t="s">
        <v>4204</v>
      </c>
      <c r="G3029" s="65">
        <v>92000</v>
      </c>
      <c r="H3029" s="23" t="s">
        <v>591</v>
      </c>
      <c r="I3029" s="24" t="s">
        <v>36</v>
      </c>
      <c r="J3029" s="32"/>
      <c r="K3029" s="10"/>
      <c r="L3029" s="32"/>
      <c r="M3029" s="10"/>
      <c r="N3029" s="33"/>
      <c r="O3029" s="11">
        <f>SUM(O3030)</f>
        <v>79</v>
      </c>
    </row>
    <row r="3030" spans="1:16" hidden="1" outlineLevel="2">
      <c r="E3030" s="59"/>
      <c r="F3030" s="60"/>
      <c r="G3030" s="34"/>
      <c r="H3030" s="30"/>
      <c r="I3030" s="35"/>
      <c r="J3030" s="41"/>
      <c r="K3030" s="10"/>
      <c r="L3030" s="32"/>
      <c r="M3030" s="10"/>
      <c r="N3030" s="33">
        <v>79</v>
      </c>
      <c r="O3030" s="31">
        <f>ROUND(PRODUCT(J3030:N3030),2)</f>
        <v>79</v>
      </c>
    </row>
    <row r="3031" spans="1:16" ht="30" hidden="1" outlineLevel="1">
      <c r="A3031" s="2">
        <v>7</v>
      </c>
      <c r="B3031" s="2">
        <v>11</v>
      </c>
      <c r="C3031" s="2">
        <f>1+C3029</f>
        <v>31</v>
      </c>
      <c r="E3031" s="20" t="str">
        <f>CONCATENATE(A3031,".",B3031,".",C3031)</f>
        <v>7.11.31</v>
      </c>
      <c r="F3031" s="21" t="s">
        <v>4205</v>
      </c>
      <c r="G3031" s="65">
        <v>92016</v>
      </c>
      <c r="H3031" s="23" t="s">
        <v>4206</v>
      </c>
      <c r="I3031" s="24" t="s">
        <v>36</v>
      </c>
      <c r="J3031" s="32"/>
      <c r="K3031" s="10"/>
      <c r="L3031" s="32"/>
      <c r="M3031" s="10"/>
      <c r="N3031" s="33"/>
      <c r="O3031" s="11">
        <f>SUM(O3032)</f>
        <v>11</v>
      </c>
    </row>
    <row r="3032" spans="1:16" hidden="1" outlineLevel="2">
      <c r="E3032" s="59"/>
      <c r="F3032" s="60"/>
      <c r="G3032" s="34"/>
      <c r="H3032" s="30"/>
      <c r="I3032" s="35"/>
      <c r="J3032" s="41"/>
      <c r="K3032" s="10"/>
      <c r="L3032" s="32"/>
      <c r="M3032" s="10"/>
      <c r="N3032" s="33">
        <v>11</v>
      </c>
      <c r="O3032" s="31">
        <f>ROUND(PRODUCT(J3032:N3032),2)</f>
        <v>11</v>
      </c>
    </row>
    <row r="3033" spans="1:16" hidden="1" outlineLevel="1">
      <c r="A3033" s="2">
        <v>7</v>
      </c>
      <c r="B3033" s="2">
        <v>11</v>
      </c>
      <c r="C3033" s="2">
        <f>1+C3031</f>
        <v>32</v>
      </c>
      <c r="E3033" s="20" t="str">
        <f>CONCATENATE(A3033,".",B3033,".",C3033)</f>
        <v>7.11.32</v>
      </c>
      <c r="F3033" s="21" t="s">
        <v>4207</v>
      </c>
      <c r="G3033" s="22" t="s">
        <v>3226</v>
      </c>
      <c r="H3033" s="23" t="s">
        <v>3227</v>
      </c>
      <c r="I3033" s="24" t="s">
        <v>36</v>
      </c>
      <c r="J3033" s="32"/>
      <c r="K3033" s="10"/>
      <c r="L3033" s="32"/>
      <c r="M3033" s="10"/>
      <c r="N3033" s="33"/>
      <c r="O3033" s="11">
        <f>SUM(O3034)</f>
        <v>3</v>
      </c>
      <c r="P3033" s="185" t="e">
        <f>VLOOKUP(G3033,[13]COMPOSIÇÕES!$A$3:$F$2740,6,FALSE())</f>
        <v>#N/A</v>
      </c>
    </row>
    <row r="3034" spans="1:16" hidden="1" outlineLevel="2">
      <c r="E3034" s="59"/>
      <c r="F3034" s="60"/>
      <c r="G3034" s="34"/>
      <c r="H3034" s="30"/>
      <c r="I3034" s="35"/>
      <c r="J3034" s="41"/>
      <c r="K3034" s="10"/>
      <c r="L3034" s="32"/>
      <c r="M3034" s="10"/>
      <c r="N3034" s="33">
        <v>3</v>
      </c>
      <c r="O3034" s="31">
        <f>ROUND(PRODUCT(J3034:N3034),2)</f>
        <v>3</v>
      </c>
    </row>
    <row r="3035" spans="1:16" hidden="1" outlineLevel="1">
      <c r="A3035" s="2">
        <v>7</v>
      </c>
      <c r="B3035" s="2">
        <v>11</v>
      </c>
      <c r="C3035" s="2">
        <f>1+C3033</f>
        <v>33</v>
      </c>
      <c r="E3035" s="20" t="str">
        <f>CONCATENATE(A3035,".",B3035,".",C3035)</f>
        <v>7.11.33</v>
      </c>
      <c r="F3035" s="21" t="s">
        <v>4208</v>
      </c>
      <c r="G3035" s="22" t="s">
        <v>3232</v>
      </c>
      <c r="H3035" s="23" t="s">
        <v>3233</v>
      </c>
      <c r="I3035" s="24" t="s">
        <v>36</v>
      </c>
      <c r="J3035" s="32"/>
      <c r="K3035" s="10"/>
      <c r="L3035" s="32"/>
      <c r="M3035" s="10"/>
      <c r="N3035" s="33"/>
      <c r="O3035" s="11">
        <f>SUM(O3036)</f>
        <v>2</v>
      </c>
      <c r="P3035" s="185" t="e">
        <f>VLOOKUP(G3035,[13]COMPOSIÇÕES!$A$3:$F$2740,6,FALSE())</f>
        <v>#N/A</v>
      </c>
    </row>
    <row r="3036" spans="1:16" hidden="1" outlineLevel="2">
      <c r="E3036" s="59"/>
      <c r="F3036" s="60"/>
      <c r="G3036" s="34"/>
      <c r="H3036" s="30"/>
      <c r="I3036" s="35"/>
      <c r="J3036" s="41"/>
      <c r="K3036" s="10"/>
      <c r="L3036" s="32"/>
      <c r="M3036" s="10"/>
      <c r="N3036" s="33">
        <v>2</v>
      </c>
      <c r="O3036" s="31">
        <f>ROUND(PRODUCT(J3036:N3036),2)</f>
        <v>2</v>
      </c>
    </row>
    <row r="3037" spans="1:16" hidden="1" outlineLevel="1">
      <c r="A3037" s="2">
        <v>7</v>
      </c>
      <c r="B3037" s="2">
        <v>11</v>
      </c>
      <c r="C3037" s="2">
        <f>1+C3035</f>
        <v>34</v>
      </c>
      <c r="E3037" s="20" t="str">
        <f>CONCATENATE(A3037,".",B3037,".",C3037)</f>
        <v>7.11.34</v>
      </c>
      <c r="F3037" s="21" t="s">
        <v>4209</v>
      </c>
      <c r="G3037" s="22" t="s">
        <v>3238</v>
      </c>
      <c r="H3037" s="23" t="s">
        <v>3239</v>
      </c>
      <c r="I3037" s="24" t="s">
        <v>36</v>
      </c>
      <c r="J3037" s="32"/>
      <c r="K3037" s="10"/>
      <c r="L3037" s="32"/>
      <c r="M3037" s="10"/>
      <c r="N3037" s="33"/>
      <c r="O3037" s="11">
        <f>SUM(O3038)</f>
        <v>70</v>
      </c>
      <c r="P3037" s="185" t="e">
        <f>VLOOKUP(G3037,[13]COMPOSIÇÕES!$A$3:$F$2740,6,FALSE())</f>
        <v>#N/A</v>
      </c>
    </row>
    <row r="3038" spans="1:16" hidden="1" outlineLevel="2">
      <c r="E3038" s="59"/>
      <c r="F3038" s="60"/>
      <c r="G3038" s="34"/>
      <c r="H3038" s="30"/>
      <c r="I3038" s="35"/>
      <c r="J3038" s="41"/>
      <c r="K3038" s="10"/>
      <c r="L3038" s="32"/>
      <c r="M3038" s="10"/>
      <c r="N3038" s="33">
        <v>70</v>
      </c>
      <c r="O3038" s="31">
        <f>ROUND(PRODUCT(J3038:N3038),2)</f>
        <v>70</v>
      </c>
    </row>
    <row r="3039" spans="1:16" hidden="1" outlineLevel="1">
      <c r="A3039" s="2">
        <v>7</v>
      </c>
      <c r="B3039" s="2">
        <v>11</v>
      </c>
      <c r="C3039" s="2">
        <f>1+C3037</f>
        <v>35</v>
      </c>
      <c r="E3039" s="20" t="str">
        <f>CONCATENATE(A3039,".",B3039,".",C3039)</f>
        <v>7.11.35</v>
      </c>
      <c r="F3039" s="21" t="s">
        <v>4210</v>
      </c>
      <c r="G3039" s="22" t="s">
        <v>4211</v>
      </c>
      <c r="H3039" s="23" t="s">
        <v>4212</v>
      </c>
      <c r="I3039" s="24" t="s">
        <v>36</v>
      </c>
      <c r="J3039" s="32"/>
      <c r="K3039" s="10"/>
      <c r="L3039" s="32"/>
      <c r="M3039" s="10"/>
      <c r="N3039" s="33"/>
      <c r="O3039" s="11">
        <f>SUM(O3040)</f>
        <v>3</v>
      </c>
      <c r="P3039" s="185" t="e">
        <f>VLOOKUP(G3039,[13]COMPOSIÇÕES!$A$3:$F$2740,6,FALSE())</f>
        <v>#N/A</v>
      </c>
    </row>
    <row r="3040" spans="1:16" hidden="1" outlineLevel="2">
      <c r="E3040" s="59"/>
      <c r="F3040" s="60"/>
      <c r="G3040" s="34"/>
      <c r="H3040" s="30"/>
      <c r="I3040" s="35"/>
      <c r="J3040" s="41"/>
      <c r="K3040" s="10"/>
      <c r="L3040" s="32"/>
      <c r="M3040" s="10"/>
      <c r="N3040" s="33">
        <v>3</v>
      </c>
      <c r="O3040" s="31">
        <f>ROUND(PRODUCT(J3040:N3040),2)</f>
        <v>3</v>
      </c>
    </row>
    <row r="3041" spans="1:16" hidden="1" outlineLevel="1">
      <c r="A3041" s="2">
        <v>7</v>
      </c>
      <c r="B3041" s="2">
        <v>11</v>
      </c>
      <c r="C3041" s="2">
        <f>1+C3039</f>
        <v>36</v>
      </c>
      <c r="E3041" s="20" t="str">
        <f>CONCATENATE(A3041,".",B3041,".",C3041)</f>
        <v>7.11.36</v>
      </c>
      <c r="F3041" s="21" t="s">
        <v>4213</v>
      </c>
      <c r="G3041" s="22" t="s">
        <v>3241</v>
      </c>
      <c r="H3041" s="23" t="s">
        <v>3242</v>
      </c>
      <c r="I3041" s="24" t="s">
        <v>36</v>
      </c>
      <c r="J3041" s="32"/>
      <c r="K3041" s="10"/>
      <c r="L3041" s="32"/>
      <c r="M3041" s="10"/>
      <c r="N3041" s="33"/>
      <c r="O3041" s="11">
        <f>SUM(O3042)</f>
        <v>2</v>
      </c>
      <c r="P3041" s="185" t="e">
        <f>VLOOKUP(G3041,[13]COMPOSIÇÕES!$A$3:$F$2740,6,FALSE())</f>
        <v>#N/A</v>
      </c>
    </row>
    <row r="3042" spans="1:16" hidden="1" outlineLevel="2">
      <c r="E3042" s="59"/>
      <c r="F3042" s="60"/>
      <c r="G3042" s="34"/>
      <c r="H3042" s="30"/>
      <c r="I3042" s="35"/>
      <c r="J3042" s="41"/>
      <c r="K3042" s="10"/>
      <c r="L3042" s="32"/>
      <c r="M3042" s="10"/>
      <c r="N3042" s="33">
        <v>2</v>
      </c>
      <c r="O3042" s="31">
        <f>ROUND(PRODUCT(J3042:N3042),2)</f>
        <v>2</v>
      </c>
    </row>
    <row r="3043" spans="1:16" hidden="1" outlineLevel="1">
      <c r="A3043" s="2">
        <v>7</v>
      </c>
      <c r="B3043" s="2">
        <v>11</v>
      </c>
      <c r="C3043" s="2">
        <f>1+C3041</f>
        <v>37</v>
      </c>
      <c r="E3043" s="20" t="str">
        <f>CONCATENATE(A3043,".",B3043,".",C3043)</f>
        <v>7.11.37</v>
      </c>
      <c r="F3043" s="21" t="s">
        <v>4214</v>
      </c>
      <c r="G3043" s="22" t="s">
        <v>4215</v>
      </c>
      <c r="H3043" s="23" t="s">
        <v>4216</v>
      </c>
      <c r="I3043" s="24" t="s">
        <v>36</v>
      </c>
      <c r="J3043" s="32"/>
      <c r="K3043" s="10"/>
      <c r="L3043" s="32"/>
      <c r="M3043" s="10"/>
      <c r="N3043" s="33"/>
      <c r="O3043" s="11">
        <f>SUM(O3044)</f>
        <v>1</v>
      </c>
      <c r="P3043" s="185" t="e">
        <f>VLOOKUP(G3043,[13]COMPOSIÇÕES!$A$3:$F$2740,6,FALSE())</f>
        <v>#N/A</v>
      </c>
    </row>
    <row r="3044" spans="1:16" hidden="1" outlineLevel="2">
      <c r="E3044" s="59"/>
      <c r="F3044" s="60"/>
      <c r="G3044" s="34"/>
      <c r="H3044" s="30"/>
      <c r="I3044" s="35"/>
      <c r="J3044" s="41"/>
      <c r="K3044" s="10"/>
      <c r="L3044" s="32"/>
      <c r="M3044" s="10"/>
      <c r="N3044" s="33">
        <v>1</v>
      </c>
      <c r="O3044" s="31">
        <f>ROUND(PRODUCT(J3044:N3044),2)</f>
        <v>1</v>
      </c>
    </row>
    <row r="3045" spans="1:16" hidden="1" outlineLevel="1">
      <c r="A3045" s="2">
        <v>7</v>
      </c>
      <c r="B3045" s="2">
        <v>11</v>
      </c>
      <c r="C3045" s="2">
        <f>1+C3043</f>
        <v>38</v>
      </c>
      <c r="E3045" s="20" t="str">
        <f>CONCATENATE(A3045,".",B3045,".",C3045)</f>
        <v>7.11.38</v>
      </c>
      <c r="F3045" s="21" t="s">
        <v>4217</v>
      </c>
      <c r="G3045" s="22" t="s">
        <v>3244</v>
      </c>
      <c r="H3045" s="23" t="s">
        <v>3245</v>
      </c>
      <c r="I3045" s="24" t="s">
        <v>36</v>
      </c>
      <c r="J3045" s="32"/>
      <c r="K3045" s="10"/>
      <c r="L3045" s="32"/>
      <c r="M3045" s="10"/>
      <c r="N3045" s="33"/>
      <c r="O3045" s="11">
        <f>SUM(O3046)</f>
        <v>1</v>
      </c>
      <c r="P3045" s="185" t="e">
        <f>VLOOKUP(G3045,[13]COMPOSIÇÕES!$A$3:$F$2740,6,FALSE())</f>
        <v>#N/A</v>
      </c>
    </row>
    <row r="3046" spans="1:16" hidden="1" outlineLevel="2">
      <c r="E3046" s="59"/>
      <c r="F3046" s="60"/>
      <c r="G3046" s="34"/>
      <c r="H3046" s="30"/>
      <c r="I3046" s="35"/>
      <c r="J3046" s="41"/>
      <c r="K3046" s="10"/>
      <c r="L3046" s="32"/>
      <c r="M3046" s="10"/>
      <c r="N3046" s="33">
        <v>1</v>
      </c>
      <c r="O3046" s="31">
        <f>ROUND(PRODUCT(J3046:N3046),2)</f>
        <v>1</v>
      </c>
    </row>
    <row r="3047" spans="1:16" hidden="1" outlineLevel="1">
      <c r="A3047" s="2">
        <v>7</v>
      </c>
      <c r="B3047" s="2">
        <v>11</v>
      </c>
      <c r="C3047" s="2">
        <f>1+C3045</f>
        <v>39</v>
      </c>
      <c r="E3047" s="20" t="str">
        <f>CONCATENATE(A3047,".",B3047,".",C3047)</f>
        <v>7.11.39</v>
      </c>
      <c r="F3047" s="21" t="s">
        <v>4218</v>
      </c>
      <c r="G3047" s="22" t="s">
        <v>3247</v>
      </c>
      <c r="H3047" s="23" t="s">
        <v>3248</v>
      </c>
      <c r="I3047" s="24" t="s">
        <v>36</v>
      </c>
      <c r="J3047" s="32"/>
      <c r="K3047" s="10"/>
      <c r="L3047" s="32"/>
      <c r="M3047" s="10"/>
      <c r="N3047" s="33"/>
      <c r="O3047" s="11">
        <f>SUM(O3048)</f>
        <v>2</v>
      </c>
      <c r="P3047" s="185" t="e">
        <f>VLOOKUP(G3047,[13]COMPOSIÇÕES!$A$3:$F$2740,6,FALSE())</f>
        <v>#N/A</v>
      </c>
    </row>
    <row r="3048" spans="1:16" hidden="1" outlineLevel="2">
      <c r="E3048" s="59"/>
      <c r="F3048" s="60"/>
      <c r="G3048" s="34"/>
      <c r="H3048" s="30"/>
      <c r="I3048" s="35"/>
      <c r="J3048" s="41"/>
      <c r="K3048" s="10"/>
      <c r="L3048" s="32"/>
      <c r="M3048" s="10"/>
      <c r="N3048" s="33">
        <v>2</v>
      </c>
      <c r="O3048" s="31">
        <f>ROUND(PRODUCT(J3048:N3048),2)</f>
        <v>2</v>
      </c>
    </row>
    <row r="3049" spans="1:16" hidden="1" outlineLevel="1">
      <c r="A3049" s="2">
        <v>7</v>
      </c>
      <c r="B3049" s="2">
        <v>11</v>
      </c>
      <c r="C3049" s="2">
        <f>1+C3047</f>
        <v>40</v>
      </c>
      <c r="E3049" s="20" t="str">
        <f>CONCATENATE(A3049,".",B3049,".",C3049)</f>
        <v>7.11.40</v>
      </c>
      <c r="F3049" s="21" t="s">
        <v>4219</v>
      </c>
      <c r="G3049" s="22" t="s">
        <v>4220</v>
      </c>
      <c r="H3049" s="23" t="s">
        <v>4221</v>
      </c>
      <c r="I3049" s="24" t="s">
        <v>36</v>
      </c>
      <c r="J3049" s="32"/>
      <c r="K3049" s="10"/>
      <c r="L3049" s="32"/>
      <c r="M3049" s="10"/>
      <c r="N3049" s="33"/>
      <c r="O3049" s="11">
        <f>SUM(O3050)</f>
        <v>4</v>
      </c>
      <c r="P3049" s="185" t="e">
        <f>VLOOKUP(G3049,[13]COMPOSIÇÕES!$A$3:$F$2740,6,FALSE())</f>
        <v>#N/A</v>
      </c>
    </row>
    <row r="3050" spans="1:16" hidden="1" outlineLevel="2">
      <c r="E3050" s="59"/>
      <c r="F3050" s="60"/>
      <c r="G3050" s="34"/>
      <c r="H3050" s="30"/>
      <c r="I3050" s="35"/>
      <c r="J3050" s="41"/>
      <c r="K3050" s="10"/>
      <c r="L3050" s="32"/>
      <c r="M3050" s="10"/>
      <c r="N3050" s="33">
        <v>4</v>
      </c>
      <c r="O3050" s="31">
        <f>ROUND(PRODUCT(J3050:N3050),2)</f>
        <v>4</v>
      </c>
    </row>
    <row r="3051" spans="1:16" ht="30" hidden="1" outlineLevel="1">
      <c r="A3051" s="2">
        <v>7</v>
      </c>
      <c r="B3051" s="2">
        <v>11</v>
      </c>
      <c r="C3051" s="2">
        <f>1+C3049</f>
        <v>41</v>
      </c>
      <c r="E3051" s="20" t="str">
        <f>CONCATENATE(A3051,".",B3051,".",C3051)</f>
        <v>7.11.41</v>
      </c>
      <c r="F3051" s="21" t="s">
        <v>4222</v>
      </c>
      <c r="G3051" s="22" t="s">
        <v>3250</v>
      </c>
      <c r="H3051" s="23" t="s">
        <v>3251</v>
      </c>
      <c r="I3051" s="24" t="s">
        <v>36</v>
      </c>
      <c r="J3051" s="32"/>
      <c r="K3051" s="10"/>
      <c r="L3051" s="32"/>
      <c r="M3051" s="10"/>
      <c r="N3051" s="33"/>
      <c r="O3051" s="11">
        <f>SUM(O3052)</f>
        <v>20</v>
      </c>
      <c r="P3051" s="185" t="e">
        <f>VLOOKUP(G3051,[13]COMPOSIÇÕES!$A$3:$F$2740,6,FALSE())</f>
        <v>#N/A</v>
      </c>
    </row>
    <row r="3052" spans="1:16" hidden="1" outlineLevel="2">
      <c r="E3052" s="59"/>
      <c r="F3052" s="60"/>
      <c r="G3052" s="34"/>
      <c r="H3052" s="30"/>
      <c r="I3052" s="35"/>
      <c r="J3052" s="41"/>
      <c r="K3052" s="10"/>
      <c r="L3052" s="32"/>
      <c r="M3052" s="10"/>
      <c r="N3052" s="33">
        <v>20</v>
      </c>
      <c r="O3052" s="31">
        <f>ROUND(PRODUCT(J3052:N3052),2)</f>
        <v>20</v>
      </c>
    </row>
    <row r="3053" spans="1:16" ht="30" hidden="1" outlineLevel="1">
      <c r="A3053" s="2">
        <v>7</v>
      </c>
      <c r="B3053" s="2">
        <v>11</v>
      </c>
      <c r="C3053" s="2">
        <f>1+C3051</f>
        <v>42</v>
      </c>
      <c r="E3053" s="20" t="str">
        <f>CONCATENATE(A3053,".",B3053,".",C3053)</f>
        <v>7.11.42</v>
      </c>
      <c r="F3053" s="21" t="s">
        <v>4223</v>
      </c>
      <c r="G3053" s="22" t="s">
        <v>3253</v>
      </c>
      <c r="H3053" s="23" t="s">
        <v>3254</v>
      </c>
      <c r="I3053" s="24" t="s">
        <v>36</v>
      </c>
      <c r="J3053" s="32"/>
      <c r="K3053" s="10"/>
      <c r="L3053" s="32"/>
      <c r="M3053" s="10"/>
      <c r="N3053" s="33"/>
      <c r="O3053" s="11">
        <f>SUM(O3054)</f>
        <v>50</v>
      </c>
      <c r="P3053" s="185" t="e">
        <f>VLOOKUP(G3053,[13]COMPOSIÇÕES!$A$3:$F$2740,6,FALSE())</f>
        <v>#N/A</v>
      </c>
    </row>
    <row r="3054" spans="1:16" hidden="1" outlineLevel="2">
      <c r="E3054" s="59"/>
      <c r="F3054" s="60"/>
      <c r="G3054" s="34"/>
      <c r="H3054" s="30"/>
      <c r="I3054" s="35"/>
      <c r="J3054" s="41"/>
      <c r="K3054" s="10"/>
      <c r="L3054" s="32"/>
      <c r="M3054" s="10"/>
      <c r="N3054" s="33">
        <v>50</v>
      </c>
      <c r="O3054" s="31">
        <f>ROUND(PRODUCT(J3054:N3054),2)</f>
        <v>50</v>
      </c>
    </row>
    <row r="3055" spans="1:16" hidden="1" outlineLevel="1">
      <c r="A3055" s="2">
        <v>7</v>
      </c>
      <c r="B3055" s="2">
        <v>11</v>
      </c>
      <c r="C3055" s="2">
        <f>1+C3053</f>
        <v>43</v>
      </c>
      <c r="E3055" s="20" t="str">
        <f>CONCATENATE(A3055,".",B3055,".",C3055)</f>
        <v>7.11.43</v>
      </c>
      <c r="F3055" s="21" t="s">
        <v>4224</v>
      </c>
      <c r="G3055" s="22" t="s">
        <v>3256</v>
      </c>
      <c r="H3055" s="23" t="s">
        <v>3257</v>
      </c>
      <c r="I3055" s="24" t="s">
        <v>36</v>
      </c>
      <c r="J3055" s="32"/>
      <c r="K3055" s="10"/>
      <c r="L3055" s="32"/>
      <c r="M3055" s="10"/>
      <c r="N3055" s="33"/>
      <c r="O3055" s="11">
        <f>SUM(O3056)</f>
        <v>196</v>
      </c>
      <c r="P3055" s="185" t="e">
        <f>VLOOKUP(G3055,[13]COMPOSIÇÕES!$A$3:$F$2740,6,FALSE())</f>
        <v>#N/A</v>
      </c>
    </row>
    <row r="3056" spans="1:16" hidden="1" outlineLevel="2">
      <c r="E3056" s="59"/>
      <c r="F3056" s="60"/>
      <c r="G3056" s="34"/>
      <c r="H3056" s="30"/>
      <c r="I3056" s="35"/>
      <c r="J3056" s="41"/>
      <c r="K3056" s="10"/>
      <c r="L3056" s="32"/>
      <c r="M3056" s="10"/>
      <c r="N3056" s="33">
        <v>196</v>
      </c>
      <c r="O3056" s="31">
        <f>ROUND(PRODUCT(J3056:N3056),2)</f>
        <v>196</v>
      </c>
    </row>
    <row r="3057" spans="1:17" ht="30" hidden="1" outlineLevel="1">
      <c r="A3057" s="2">
        <v>7</v>
      </c>
      <c r="B3057" s="2">
        <v>11</v>
      </c>
      <c r="C3057" s="2">
        <f>1+C3055</f>
        <v>44</v>
      </c>
      <c r="E3057" s="20" t="str">
        <f>CONCATENATE(A3057,".",B3057,".",C3057)</f>
        <v>7.11.44</v>
      </c>
      <c r="F3057" s="21" t="s">
        <v>4225</v>
      </c>
      <c r="G3057" s="22" t="s">
        <v>4226</v>
      </c>
      <c r="H3057" s="23" t="s">
        <v>4227</v>
      </c>
      <c r="I3057" s="24" t="s">
        <v>36</v>
      </c>
      <c r="J3057" s="32"/>
      <c r="K3057" s="10"/>
      <c r="L3057" s="32"/>
      <c r="M3057" s="10"/>
      <c r="N3057" s="33"/>
      <c r="O3057" s="11">
        <f>SUM(O3058)</f>
        <v>1</v>
      </c>
      <c r="P3057" s="185" t="e">
        <f>VLOOKUP(G3057,[13]COMPOSIÇÕES!$A$3:$F$2740,6,FALSE())</f>
        <v>#N/A</v>
      </c>
    </row>
    <row r="3058" spans="1:17" hidden="1" outlineLevel="2">
      <c r="E3058" s="59"/>
      <c r="F3058" s="60"/>
      <c r="G3058" s="34"/>
      <c r="H3058" s="30"/>
      <c r="I3058" s="35"/>
      <c r="J3058" s="41"/>
      <c r="K3058" s="10"/>
      <c r="L3058" s="32"/>
      <c r="M3058" s="10"/>
      <c r="N3058" s="33">
        <v>1</v>
      </c>
      <c r="O3058" s="31">
        <f>ROUND(PRODUCT(J3058:N3058),2)</f>
        <v>1</v>
      </c>
    </row>
    <row r="3059" spans="1:17" hidden="1" outlineLevel="1">
      <c r="A3059" s="2">
        <v>7</v>
      </c>
      <c r="B3059" s="2">
        <v>11</v>
      </c>
      <c r="C3059" s="2">
        <f>1+C3057</f>
        <v>45</v>
      </c>
      <c r="E3059" s="20" t="str">
        <f>CONCATENATE(A3059,".",B3059,".",C3059)</f>
        <v>7.11.45</v>
      </c>
      <c r="F3059" s="21" t="s">
        <v>4228</v>
      </c>
      <c r="G3059" s="22" t="s">
        <v>3223</v>
      </c>
      <c r="H3059" s="23" t="s">
        <v>3224</v>
      </c>
      <c r="I3059" s="24" t="s">
        <v>36</v>
      </c>
      <c r="J3059" s="32"/>
      <c r="K3059" s="10"/>
      <c r="L3059" s="32"/>
      <c r="M3059" s="10"/>
      <c r="N3059" s="33"/>
      <c r="O3059" s="11">
        <f>SUM(O3060)</f>
        <v>31</v>
      </c>
      <c r="P3059" s="185" t="e">
        <f>VLOOKUP(G3059,[13]COMPOSIÇÕES!$A$3:$F$2740,6,FALSE())</f>
        <v>#N/A</v>
      </c>
    </row>
    <row r="3060" spans="1:17" hidden="1" outlineLevel="2">
      <c r="E3060" s="59"/>
      <c r="F3060" s="60"/>
      <c r="G3060" s="34"/>
      <c r="H3060" s="30"/>
      <c r="I3060" s="35"/>
      <c r="J3060" s="41"/>
      <c r="K3060" s="10"/>
      <c r="L3060" s="32"/>
      <c r="M3060" s="10"/>
      <c r="N3060" s="33">
        <v>31</v>
      </c>
      <c r="O3060" s="31">
        <f>ROUND(PRODUCT(J3060:N3060),2)</f>
        <v>31</v>
      </c>
    </row>
    <row r="3061" spans="1:17" collapsed="1">
      <c r="A3061" s="2">
        <v>7</v>
      </c>
      <c r="B3061" s="2">
        <v>12</v>
      </c>
      <c r="E3061" s="42" t="str">
        <f>CONCATENATE(A3061,".",B3061)</f>
        <v>7.12</v>
      </c>
      <c r="F3061" s="45" t="s">
        <v>4229</v>
      </c>
      <c r="G3061" s="13"/>
      <c r="H3061" s="14" t="s">
        <v>700</v>
      </c>
      <c r="I3061" s="15"/>
      <c r="J3061" s="16"/>
      <c r="K3061" s="17"/>
      <c r="L3061" s="16"/>
      <c r="M3061" s="17"/>
      <c r="N3061" s="18"/>
      <c r="O3061" s="19"/>
      <c r="P3061" s="185"/>
      <c r="Q3061" s="185"/>
    </row>
    <row r="3062" spans="1:17">
      <c r="A3062" s="2">
        <v>7</v>
      </c>
      <c r="B3062" s="2">
        <v>12</v>
      </c>
      <c r="C3062" s="2">
        <v>1</v>
      </c>
      <c r="E3062" s="42" t="str">
        <f>CONCATENATE(A3062,".",B3062,".",C3062)</f>
        <v>7.12.1</v>
      </c>
      <c r="F3062" s="45" t="s">
        <v>4230</v>
      </c>
      <c r="G3062" s="13"/>
      <c r="H3062" s="14" t="s">
        <v>702</v>
      </c>
      <c r="I3062" s="15"/>
      <c r="J3062" s="16"/>
      <c r="K3062" s="17"/>
      <c r="L3062" s="16"/>
      <c r="M3062" s="17"/>
      <c r="N3062" s="18"/>
      <c r="O3062" s="19"/>
      <c r="P3062" s="185"/>
      <c r="Q3062" s="185"/>
    </row>
    <row r="3063" spans="1:17" ht="30" hidden="1" outlineLevel="1">
      <c r="A3063" s="2">
        <v>7</v>
      </c>
      <c r="B3063" s="2">
        <v>12</v>
      </c>
      <c r="C3063" s="2">
        <v>1</v>
      </c>
      <c r="D3063" s="2">
        <v>1</v>
      </c>
      <c r="E3063" s="20" t="str">
        <f>CONCATENATE(A3063,".",B3063,".",C3063,".",D3063)</f>
        <v>7.12.1.1</v>
      </c>
      <c r="F3063" s="21" t="s">
        <v>4231</v>
      </c>
      <c r="G3063" s="22" t="s">
        <v>749</v>
      </c>
      <c r="H3063" s="23" t="s">
        <v>750</v>
      </c>
      <c r="I3063" s="24" t="s">
        <v>36</v>
      </c>
      <c r="J3063" s="32"/>
      <c r="K3063" s="10"/>
      <c r="L3063" s="32"/>
      <c r="M3063" s="10"/>
      <c r="N3063" s="33"/>
      <c r="O3063" s="11">
        <f>SUM(O3064)</f>
        <v>4</v>
      </c>
      <c r="P3063" s="185"/>
      <c r="Q3063" s="185"/>
    </row>
    <row r="3064" spans="1:17" hidden="1" outlineLevel="2">
      <c r="E3064" s="72"/>
      <c r="F3064" s="21"/>
      <c r="G3064" s="34"/>
      <c r="H3064" s="30"/>
      <c r="I3064" s="35"/>
      <c r="J3064" s="41"/>
      <c r="K3064" s="10"/>
      <c r="L3064" s="32"/>
      <c r="M3064" s="10"/>
      <c r="N3064" s="33">
        <v>4</v>
      </c>
      <c r="O3064" s="31">
        <f>ROUND(PRODUCT(J3064:N3064),2)</f>
        <v>4</v>
      </c>
    </row>
    <row r="3065" spans="1:17" ht="30" hidden="1" outlineLevel="1">
      <c r="A3065" s="2">
        <v>7</v>
      </c>
      <c r="B3065" s="2">
        <v>12</v>
      </c>
      <c r="C3065" s="2">
        <v>1</v>
      </c>
      <c r="D3065" s="2" t="e">
        <f>#REF!+1</f>
        <v>#REF!</v>
      </c>
      <c r="E3065" s="20" t="e">
        <f>CONCATENATE(A3065,".",B3065,".",C3065,".",D3065)</f>
        <v>#REF!</v>
      </c>
      <c r="F3065" s="21" t="s">
        <v>4232</v>
      </c>
      <c r="G3065" s="22">
        <v>89356</v>
      </c>
      <c r="H3065" s="23" t="s">
        <v>3263</v>
      </c>
      <c r="I3065" s="24" t="s">
        <v>144</v>
      </c>
      <c r="J3065" s="32"/>
      <c r="K3065" s="10"/>
      <c r="L3065" s="32"/>
      <c r="M3065" s="10"/>
      <c r="N3065" s="33"/>
      <c r="O3065" s="11">
        <f>SUM(O3066)</f>
        <v>25</v>
      </c>
    </row>
    <row r="3066" spans="1:17" hidden="1" outlineLevel="2">
      <c r="E3066" s="72"/>
      <c r="F3066" s="21"/>
      <c r="G3066" s="22"/>
      <c r="H3066" s="23"/>
      <c r="I3066" s="35"/>
      <c r="J3066" s="41"/>
      <c r="K3066" s="10"/>
      <c r="L3066" s="32"/>
      <c r="M3066" s="10"/>
      <c r="N3066" s="33">
        <v>25</v>
      </c>
      <c r="O3066" s="31">
        <f>ROUND(PRODUCT(J3066:N3066),2)</f>
        <v>25</v>
      </c>
    </row>
    <row r="3067" spans="1:17" ht="30" hidden="1" outlineLevel="1">
      <c r="A3067" s="2">
        <v>7</v>
      </c>
      <c r="B3067" s="2">
        <v>12</v>
      </c>
      <c r="C3067" s="2">
        <v>1</v>
      </c>
      <c r="D3067" s="2" t="e">
        <f>D3065+1</f>
        <v>#REF!</v>
      </c>
      <c r="E3067" s="20" t="e">
        <f>CONCATENATE(A3067,".",B3067,".",C3067,".",D3067)</f>
        <v>#REF!</v>
      </c>
      <c r="F3067" s="21" t="s">
        <v>4233</v>
      </c>
      <c r="G3067" s="22">
        <v>89357</v>
      </c>
      <c r="H3067" s="23" t="s">
        <v>3261</v>
      </c>
      <c r="I3067" s="24" t="s">
        <v>144</v>
      </c>
      <c r="J3067" s="32"/>
      <c r="K3067" s="10"/>
      <c r="L3067" s="32"/>
      <c r="M3067" s="10"/>
      <c r="N3067" s="33"/>
      <c r="O3067" s="11">
        <f>SUM(O3068)</f>
        <v>32</v>
      </c>
    </row>
    <row r="3068" spans="1:17" hidden="1" outlineLevel="2">
      <c r="E3068" s="72"/>
      <c r="F3068" s="21"/>
      <c r="G3068" s="22"/>
      <c r="H3068" s="23"/>
      <c r="I3068" s="35"/>
      <c r="J3068" s="41"/>
      <c r="K3068" s="10"/>
      <c r="L3068" s="32"/>
      <c r="M3068" s="10"/>
      <c r="N3068" s="33">
        <v>32</v>
      </c>
      <c r="O3068" s="31">
        <f>ROUND(PRODUCT(J3068:N3068),2)</f>
        <v>32</v>
      </c>
    </row>
    <row r="3069" spans="1:17" ht="30" hidden="1" outlineLevel="1">
      <c r="A3069" s="2">
        <v>7</v>
      </c>
      <c r="B3069" s="2">
        <v>12</v>
      </c>
      <c r="C3069" s="2">
        <v>1</v>
      </c>
      <c r="D3069" s="2" t="e">
        <f>#REF!+1</f>
        <v>#REF!</v>
      </c>
      <c r="E3069" s="20" t="e">
        <f>CONCATENATE(A3069,".",B3069,".",C3069,".",D3069)</f>
        <v>#REF!</v>
      </c>
      <c r="F3069" s="21" t="s">
        <v>4234</v>
      </c>
      <c r="G3069" s="22">
        <v>103953</v>
      </c>
      <c r="H3069" s="23" t="s">
        <v>1365</v>
      </c>
      <c r="I3069" s="24" t="s">
        <v>36</v>
      </c>
      <c r="J3069" s="32"/>
      <c r="K3069" s="10"/>
      <c r="L3069" s="32"/>
      <c r="M3069" s="10"/>
      <c r="N3069" s="33"/>
      <c r="O3069" s="11">
        <f>SUM(O3070)</f>
        <v>3</v>
      </c>
    </row>
    <row r="3070" spans="1:17" hidden="1" outlineLevel="2">
      <c r="E3070" s="72"/>
      <c r="F3070" s="21"/>
      <c r="G3070" s="22"/>
      <c r="H3070" s="23"/>
      <c r="I3070" s="35"/>
      <c r="J3070" s="41"/>
      <c r="K3070" s="10"/>
      <c r="L3070" s="32"/>
      <c r="M3070" s="10"/>
      <c r="N3070" s="33">
        <v>3</v>
      </c>
      <c r="O3070" s="31">
        <f>ROUND(PRODUCT(J3070:N3070),2)</f>
        <v>3</v>
      </c>
    </row>
    <row r="3071" spans="1:17" ht="30" hidden="1" outlineLevel="1">
      <c r="A3071" s="2">
        <v>7</v>
      </c>
      <c r="B3071" s="2">
        <v>12</v>
      </c>
      <c r="C3071" s="2">
        <v>1</v>
      </c>
      <c r="D3071" s="2" t="e">
        <f>#REF!+1</f>
        <v>#REF!</v>
      </c>
      <c r="E3071" s="20" t="e">
        <f>CONCATENATE(A3071,".",B3071,".",C3071,".",D3071)</f>
        <v>#REF!</v>
      </c>
      <c r="F3071" s="21" t="s">
        <v>4235</v>
      </c>
      <c r="G3071" s="22">
        <v>89367</v>
      </c>
      <c r="H3071" s="23" t="s">
        <v>726</v>
      </c>
      <c r="I3071" s="24" t="s">
        <v>36</v>
      </c>
      <c r="J3071" s="32"/>
      <c r="K3071" s="10"/>
      <c r="L3071" s="32"/>
      <c r="M3071" s="10"/>
      <c r="N3071" s="33"/>
      <c r="O3071" s="11">
        <f>SUM(O3072)</f>
        <v>7</v>
      </c>
    </row>
    <row r="3072" spans="1:17" hidden="1" outlineLevel="2">
      <c r="E3072" s="72"/>
      <c r="F3072" s="21"/>
      <c r="G3072" s="22"/>
      <c r="H3072" s="23"/>
      <c r="I3072" s="35"/>
      <c r="J3072" s="41"/>
      <c r="K3072" s="10"/>
      <c r="L3072" s="32"/>
      <c r="M3072" s="10"/>
      <c r="N3072" s="33">
        <v>7</v>
      </c>
      <c r="O3072" s="31">
        <f>ROUND(PRODUCT(J3072:N3072),2)</f>
        <v>7</v>
      </c>
    </row>
    <row r="3073" spans="1:17" ht="30" hidden="1" outlineLevel="1">
      <c r="A3073" s="2">
        <v>7</v>
      </c>
      <c r="B3073" s="2">
        <v>12</v>
      </c>
      <c r="C3073" s="2">
        <v>1</v>
      </c>
      <c r="D3073" s="2" t="e">
        <f>D3071+1</f>
        <v>#REF!</v>
      </c>
      <c r="E3073" s="20" t="e">
        <f>CONCATENATE(A3073,".",B3073,".",C3073,".",D3073)</f>
        <v>#REF!</v>
      </c>
      <c r="F3073" s="21" t="s">
        <v>4236</v>
      </c>
      <c r="G3073" s="22">
        <v>89362</v>
      </c>
      <c r="H3073" s="23" t="s">
        <v>729</v>
      </c>
      <c r="I3073" s="24" t="s">
        <v>36</v>
      </c>
      <c r="J3073" s="32"/>
      <c r="K3073" s="10"/>
      <c r="L3073" s="32"/>
      <c r="M3073" s="10"/>
      <c r="N3073" s="33"/>
      <c r="O3073" s="11">
        <f>SUM(O3074)</f>
        <v>20</v>
      </c>
    </row>
    <row r="3074" spans="1:17" hidden="1" outlineLevel="2">
      <c r="E3074" s="72"/>
      <c r="F3074" s="21"/>
      <c r="G3074" s="22"/>
      <c r="H3074" s="23"/>
      <c r="I3074" s="35"/>
      <c r="J3074" s="41"/>
      <c r="K3074" s="10"/>
      <c r="L3074" s="32"/>
      <c r="M3074" s="10"/>
      <c r="N3074" s="33">
        <v>20</v>
      </c>
      <c r="O3074" s="31">
        <f>ROUND(PRODUCT(J3074:N3074),2)</f>
        <v>20</v>
      </c>
    </row>
    <row r="3075" spans="1:17" ht="45" hidden="1" outlineLevel="1">
      <c r="A3075" s="2">
        <v>7</v>
      </c>
      <c r="B3075" s="2">
        <v>12</v>
      </c>
      <c r="C3075" s="2">
        <v>1</v>
      </c>
      <c r="D3075" s="2" t="e">
        <f>#REF!+1</f>
        <v>#REF!</v>
      </c>
      <c r="E3075" s="20" t="e">
        <f>CONCATENATE(A3075,".",B3075,".",C3075,".",D3075)</f>
        <v>#REF!</v>
      </c>
      <c r="F3075" s="21" t="s">
        <v>4237</v>
      </c>
      <c r="G3075" s="22">
        <v>89366</v>
      </c>
      <c r="H3075" s="23" t="s">
        <v>3269</v>
      </c>
      <c r="I3075" s="24" t="s">
        <v>36</v>
      </c>
      <c r="J3075" s="32"/>
      <c r="K3075" s="10"/>
      <c r="L3075" s="32"/>
      <c r="M3075" s="10"/>
      <c r="N3075" s="33"/>
      <c r="O3075" s="11">
        <f>SUM(O3076)</f>
        <v>12</v>
      </c>
    </row>
    <row r="3076" spans="1:17" hidden="1" outlineLevel="2">
      <c r="E3076" s="72"/>
      <c r="F3076" s="21"/>
      <c r="G3076" s="22"/>
      <c r="H3076" s="23"/>
      <c r="I3076" s="35"/>
      <c r="J3076" s="41"/>
      <c r="K3076" s="10"/>
      <c r="L3076" s="32"/>
      <c r="M3076" s="10"/>
      <c r="N3076" s="33">
        <v>12</v>
      </c>
      <c r="O3076" s="31">
        <f>ROUND(PRODUCT(J3076:N3076),2)</f>
        <v>12</v>
      </c>
    </row>
    <row r="3077" spans="1:17" ht="45" hidden="1" outlineLevel="1">
      <c r="A3077" s="2">
        <v>7</v>
      </c>
      <c r="B3077" s="2">
        <v>12</v>
      </c>
      <c r="C3077" s="2">
        <v>1</v>
      </c>
      <c r="D3077" s="2" t="e">
        <f>D3075+1</f>
        <v>#REF!</v>
      </c>
      <c r="E3077" s="20" t="e">
        <f>CONCATENATE(A3077,".",B3077,".",C3077,".",D3077)</f>
        <v>#REF!</v>
      </c>
      <c r="F3077" s="21" t="s">
        <v>4238</v>
      </c>
      <c r="G3077" s="22">
        <v>94689</v>
      </c>
      <c r="H3077" s="23" t="s">
        <v>3895</v>
      </c>
      <c r="I3077" s="24" t="s">
        <v>36</v>
      </c>
      <c r="J3077" s="32"/>
      <c r="K3077" s="10"/>
      <c r="L3077" s="32"/>
      <c r="M3077" s="10"/>
      <c r="N3077" s="33"/>
      <c r="O3077" s="11">
        <f>SUM(O3078)</f>
        <v>1</v>
      </c>
    </row>
    <row r="3078" spans="1:17" hidden="1" outlineLevel="2">
      <c r="E3078" s="72"/>
      <c r="F3078" s="21"/>
      <c r="G3078" s="22"/>
      <c r="H3078" s="23"/>
      <c r="I3078" s="35"/>
      <c r="J3078" s="41"/>
      <c r="K3078" s="10"/>
      <c r="L3078" s="32"/>
      <c r="M3078" s="10"/>
      <c r="N3078" s="33">
        <v>1</v>
      </c>
      <c r="O3078" s="31">
        <f>ROUND(PRODUCT(J3078:N3078),2)</f>
        <v>1</v>
      </c>
    </row>
    <row r="3079" spans="1:17" ht="30" hidden="1" outlineLevel="1">
      <c r="A3079" s="2">
        <v>7</v>
      </c>
      <c r="B3079" s="2">
        <v>12</v>
      </c>
      <c r="C3079" s="2">
        <v>1</v>
      </c>
      <c r="D3079" s="2" t="e">
        <f>D3077+1</f>
        <v>#REF!</v>
      </c>
      <c r="E3079" s="20" t="e">
        <f>CONCATENATE(A3079,".",B3079,".",C3079,".",D3079)</f>
        <v>#REF!</v>
      </c>
      <c r="F3079" s="21" t="s">
        <v>4239</v>
      </c>
      <c r="G3079" s="22">
        <v>89398</v>
      </c>
      <c r="H3079" s="23" t="s">
        <v>1106</v>
      </c>
      <c r="I3079" s="24" t="s">
        <v>36</v>
      </c>
      <c r="J3079" s="32"/>
      <c r="K3079" s="10"/>
      <c r="L3079" s="32"/>
      <c r="M3079" s="10"/>
      <c r="N3079" s="33"/>
      <c r="O3079" s="11">
        <f>SUM(O3080)</f>
        <v>2</v>
      </c>
    </row>
    <row r="3080" spans="1:17" hidden="1" outlineLevel="2">
      <c r="E3080" s="72"/>
      <c r="F3080" s="21"/>
      <c r="G3080" s="22"/>
      <c r="H3080" s="23"/>
      <c r="I3080" s="35"/>
      <c r="J3080" s="41"/>
      <c r="K3080" s="10"/>
      <c r="L3080" s="32"/>
      <c r="M3080" s="10"/>
      <c r="N3080" s="33">
        <v>2</v>
      </c>
      <c r="O3080" s="31">
        <f>ROUND(PRODUCT(J3080:N3080),2)</f>
        <v>2</v>
      </c>
    </row>
    <row r="3081" spans="1:17" ht="30" hidden="1" outlineLevel="1">
      <c r="A3081" s="2">
        <v>7</v>
      </c>
      <c r="B3081" s="2">
        <v>12</v>
      </c>
      <c r="C3081" s="2">
        <v>1</v>
      </c>
      <c r="D3081" s="2" t="e">
        <f>D3079+1</f>
        <v>#REF!</v>
      </c>
      <c r="E3081" s="20" t="e">
        <f>CONCATENATE(A3081,".",B3081,".",C3081,".",D3081)</f>
        <v>#REF!</v>
      </c>
      <c r="F3081" s="21" t="s">
        <v>4240</v>
      </c>
      <c r="G3081" s="22">
        <v>89395</v>
      </c>
      <c r="H3081" s="23" t="s">
        <v>741</v>
      </c>
      <c r="I3081" s="24" t="s">
        <v>36</v>
      </c>
      <c r="J3081" s="32"/>
      <c r="K3081" s="10"/>
      <c r="L3081" s="32"/>
      <c r="M3081" s="10"/>
      <c r="N3081" s="33"/>
      <c r="O3081" s="11">
        <f>SUM(O3082)</f>
        <v>9</v>
      </c>
    </row>
    <row r="3082" spans="1:17" hidden="1" outlineLevel="2">
      <c r="E3082" s="72"/>
      <c r="F3082" s="21"/>
      <c r="G3082" s="22"/>
      <c r="H3082" s="23"/>
      <c r="I3082" s="35"/>
      <c r="J3082" s="41"/>
      <c r="K3082" s="10"/>
      <c r="L3082" s="32"/>
      <c r="M3082" s="10"/>
      <c r="N3082" s="33">
        <v>9</v>
      </c>
      <c r="O3082" s="31">
        <f>ROUND(PRODUCT(J3082:N3082),2)</f>
        <v>9</v>
      </c>
    </row>
    <row r="3083" spans="1:17" collapsed="1">
      <c r="A3083" s="2">
        <v>7</v>
      </c>
      <c r="B3083" s="2">
        <v>12</v>
      </c>
      <c r="C3083" s="2">
        <v>2</v>
      </c>
      <c r="E3083" s="42" t="str">
        <f>CONCATENATE(A3083,".",B3083,".",C3083)</f>
        <v>7.12.2</v>
      </c>
      <c r="F3083" s="45" t="s">
        <v>4241</v>
      </c>
      <c r="G3083" s="13"/>
      <c r="H3083" s="14" t="s">
        <v>752</v>
      </c>
      <c r="I3083" s="15"/>
      <c r="J3083" s="16"/>
      <c r="K3083" s="17"/>
      <c r="L3083" s="16"/>
      <c r="M3083" s="17"/>
      <c r="N3083" s="18"/>
      <c r="O3083" s="19"/>
      <c r="P3083" s="185"/>
      <c r="Q3083" s="185"/>
    </row>
    <row r="3084" spans="1:17" ht="30" hidden="1" outlineLevel="1">
      <c r="A3084" s="2">
        <v>7</v>
      </c>
      <c r="B3084" s="2">
        <v>12</v>
      </c>
      <c r="C3084" s="2">
        <v>2</v>
      </c>
      <c r="D3084" s="2" t="e">
        <f>#REF!+1</f>
        <v>#REF!</v>
      </c>
      <c r="E3084" s="20" t="e">
        <f>CONCATENATE(A3084,".",B3084,".",C3084,".",D3084)</f>
        <v>#REF!</v>
      </c>
      <c r="F3084" s="21" t="s">
        <v>4242</v>
      </c>
      <c r="G3084" s="65">
        <v>89714</v>
      </c>
      <c r="H3084" s="23" t="s">
        <v>758</v>
      </c>
      <c r="I3084" s="24" t="s">
        <v>144</v>
      </c>
      <c r="J3084" s="32"/>
      <c r="K3084" s="10"/>
      <c r="L3084" s="32"/>
      <c r="M3084" s="10"/>
      <c r="N3084" s="33"/>
      <c r="O3084" s="11">
        <f>SUM(O3085)</f>
        <v>12.74</v>
      </c>
    </row>
    <row r="3085" spans="1:17" hidden="1" outlineLevel="2">
      <c r="E3085" s="72"/>
      <c r="F3085" s="21"/>
      <c r="G3085" s="65"/>
      <c r="H3085" s="23"/>
      <c r="I3085" s="35"/>
      <c r="J3085" s="41"/>
      <c r="K3085" s="10"/>
      <c r="L3085" s="32"/>
      <c r="M3085" s="10"/>
      <c r="N3085" s="33">
        <v>12.74</v>
      </c>
      <c r="O3085" s="31">
        <f>ROUND(PRODUCT(J3085:N3085),2)</f>
        <v>12.74</v>
      </c>
    </row>
    <row r="3086" spans="1:17" ht="30" hidden="1" outlineLevel="1">
      <c r="A3086" s="2">
        <v>7</v>
      </c>
      <c r="B3086" s="2">
        <v>12</v>
      </c>
      <c r="C3086" s="2">
        <v>2</v>
      </c>
      <c r="D3086" s="2" t="e">
        <f>D3084+1</f>
        <v>#REF!</v>
      </c>
      <c r="E3086" s="20" t="e">
        <f>CONCATENATE(A3086,".",B3086,".",C3086,".",D3086)</f>
        <v>#REF!</v>
      </c>
      <c r="F3086" s="21" t="s">
        <v>4243</v>
      </c>
      <c r="G3086" s="65">
        <v>89712</v>
      </c>
      <c r="H3086" s="23" t="s">
        <v>764</v>
      </c>
      <c r="I3086" s="24" t="s">
        <v>144</v>
      </c>
      <c r="J3086" s="32"/>
      <c r="K3086" s="10"/>
      <c r="L3086" s="32"/>
      <c r="M3086" s="10"/>
      <c r="N3086" s="33"/>
      <c r="O3086" s="11">
        <f>SUM(O3087)</f>
        <v>29.32</v>
      </c>
    </row>
    <row r="3087" spans="1:17" hidden="1" outlineLevel="2">
      <c r="E3087" s="72"/>
      <c r="F3087" s="21"/>
      <c r="G3087" s="65"/>
      <c r="H3087" s="23"/>
      <c r="I3087" s="35"/>
      <c r="J3087" s="41"/>
      <c r="K3087" s="10"/>
      <c r="L3087" s="32"/>
      <c r="M3087" s="10"/>
      <c r="N3087" s="33">
        <v>29.32</v>
      </c>
      <c r="O3087" s="31">
        <f>ROUND(PRODUCT(J3087:N3087),2)</f>
        <v>29.32</v>
      </c>
    </row>
    <row r="3088" spans="1:17" ht="30" hidden="1" outlineLevel="1">
      <c r="A3088" s="2">
        <v>7</v>
      </c>
      <c r="B3088" s="2">
        <v>12</v>
      </c>
      <c r="C3088" s="2">
        <v>2</v>
      </c>
      <c r="D3088" s="2" t="e">
        <f>D3086+1</f>
        <v>#REF!</v>
      </c>
      <c r="E3088" s="20" t="e">
        <f>CONCATENATE(A3088,".",B3088,".",C3088,".",D3088)</f>
        <v>#REF!</v>
      </c>
      <c r="F3088" s="21" t="s">
        <v>4244</v>
      </c>
      <c r="G3088" s="65">
        <v>89711</v>
      </c>
      <c r="H3088" s="23" t="s">
        <v>755</v>
      </c>
      <c r="I3088" s="24" t="s">
        <v>144</v>
      </c>
      <c r="J3088" s="32"/>
      <c r="K3088" s="10"/>
      <c r="L3088" s="32"/>
      <c r="M3088" s="10"/>
      <c r="N3088" s="33"/>
      <c r="O3088" s="11">
        <f>SUM(O3089)</f>
        <v>107.63</v>
      </c>
    </row>
    <row r="3089" spans="1:15" hidden="1" outlineLevel="2">
      <c r="E3089" s="72"/>
      <c r="F3089" s="21"/>
      <c r="G3089" s="65"/>
      <c r="H3089" s="23"/>
      <c r="I3089" s="35"/>
      <c r="J3089" s="41"/>
      <c r="K3089" s="10"/>
      <c r="L3089" s="32"/>
      <c r="M3089" s="10"/>
      <c r="N3089" s="33">
        <v>107.63</v>
      </c>
      <c r="O3089" s="31">
        <f>ROUND(PRODUCT(J3089:N3089),2)</f>
        <v>107.63</v>
      </c>
    </row>
    <row r="3090" spans="1:15" ht="45" hidden="1" outlineLevel="1">
      <c r="A3090" s="2">
        <v>7</v>
      </c>
      <c r="B3090" s="2">
        <v>12</v>
      </c>
      <c r="C3090" s="2">
        <v>2</v>
      </c>
      <c r="D3090" s="2" t="e">
        <f>#REF!+1</f>
        <v>#REF!</v>
      </c>
      <c r="E3090" s="20" t="e">
        <f>CONCATENATE(A3090,".",B3090,".",C3090,".",D3090)</f>
        <v>#REF!</v>
      </c>
      <c r="F3090" s="21" t="s">
        <v>4245</v>
      </c>
      <c r="G3090" s="65">
        <v>89726</v>
      </c>
      <c r="H3090" s="23" t="s">
        <v>770</v>
      </c>
      <c r="I3090" s="24" t="s">
        <v>36</v>
      </c>
      <c r="J3090" s="32"/>
      <c r="K3090" s="10"/>
      <c r="L3090" s="32"/>
      <c r="M3090" s="10"/>
      <c r="N3090" s="33"/>
      <c r="O3090" s="11">
        <f>SUM(O3091)</f>
        <v>4</v>
      </c>
    </row>
    <row r="3091" spans="1:15" hidden="1" outlineLevel="2">
      <c r="E3091" s="72"/>
      <c r="F3091" s="21"/>
      <c r="G3091" s="65"/>
      <c r="H3091" s="23"/>
      <c r="I3091" s="35"/>
      <c r="J3091" s="41"/>
      <c r="K3091" s="10"/>
      <c r="L3091" s="32"/>
      <c r="M3091" s="10"/>
      <c r="N3091" s="33">
        <v>4</v>
      </c>
      <c r="O3091" s="31">
        <f>ROUND(PRODUCT(J3091:N3091),2)</f>
        <v>4</v>
      </c>
    </row>
    <row r="3092" spans="1:15" ht="45" hidden="1" outlineLevel="1">
      <c r="A3092" s="2">
        <v>7</v>
      </c>
      <c r="B3092" s="2">
        <v>12</v>
      </c>
      <c r="C3092" s="2">
        <v>2</v>
      </c>
      <c r="D3092" s="2" t="e">
        <f>D3090+1</f>
        <v>#REF!</v>
      </c>
      <c r="E3092" s="20" t="e">
        <f>CONCATENATE(A3092,".",B3092,".",C3092,".",D3092)</f>
        <v>#REF!</v>
      </c>
      <c r="F3092" s="21" t="s">
        <v>4246</v>
      </c>
      <c r="G3092" s="65">
        <v>89802</v>
      </c>
      <c r="H3092" s="23" t="s">
        <v>776</v>
      </c>
      <c r="I3092" s="24" t="s">
        <v>36</v>
      </c>
      <c r="J3092" s="32"/>
      <c r="K3092" s="10"/>
      <c r="L3092" s="32"/>
      <c r="M3092" s="10"/>
      <c r="N3092" s="33"/>
      <c r="O3092" s="11">
        <f>SUM(O3093)</f>
        <v>4</v>
      </c>
    </row>
    <row r="3093" spans="1:15" hidden="1" outlineLevel="2">
      <c r="E3093" s="72"/>
      <c r="F3093" s="21"/>
      <c r="G3093" s="65"/>
      <c r="H3093" s="23"/>
      <c r="I3093" s="35"/>
      <c r="J3093" s="41"/>
      <c r="K3093" s="10"/>
      <c r="L3093" s="32"/>
      <c r="M3093" s="10"/>
      <c r="N3093" s="33">
        <v>4</v>
      </c>
      <c r="O3093" s="31">
        <f>ROUND(PRODUCT(J3093:N3093),2)</f>
        <v>4</v>
      </c>
    </row>
    <row r="3094" spans="1:15" ht="45" hidden="1" outlineLevel="1">
      <c r="A3094" s="2">
        <v>7</v>
      </c>
      <c r="B3094" s="2">
        <v>12</v>
      </c>
      <c r="C3094" s="2">
        <v>2</v>
      </c>
      <c r="D3094" s="2" t="e">
        <f>D3092+1</f>
        <v>#REF!</v>
      </c>
      <c r="E3094" s="20" t="e">
        <f>CONCATENATE(A3094,".",B3094,".",C3094,".",D3094)</f>
        <v>#REF!</v>
      </c>
      <c r="F3094" s="21" t="s">
        <v>4247</v>
      </c>
      <c r="G3094" s="65">
        <v>89746</v>
      </c>
      <c r="H3094" s="23" t="s">
        <v>773</v>
      </c>
      <c r="I3094" s="24" t="s">
        <v>36</v>
      </c>
      <c r="J3094" s="32"/>
      <c r="K3094" s="10"/>
      <c r="L3094" s="32"/>
      <c r="M3094" s="10"/>
      <c r="N3094" s="33"/>
      <c r="O3094" s="11">
        <f>SUM(O3095)</f>
        <v>2</v>
      </c>
    </row>
    <row r="3095" spans="1:15" hidden="1" outlineLevel="2">
      <c r="E3095" s="72"/>
      <c r="F3095" s="21"/>
      <c r="G3095" s="65"/>
      <c r="H3095" s="23"/>
      <c r="I3095" s="35"/>
      <c r="J3095" s="41"/>
      <c r="K3095" s="10"/>
      <c r="L3095" s="32"/>
      <c r="M3095" s="10"/>
      <c r="N3095" s="33">
        <v>2</v>
      </c>
      <c r="O3095" s="31">
        <f>ROUND(PRODUCT(J3095:N3095),2)</f>
        <v>2</v>
      </c>
    </row>
    <row r="3096" spans="1:15" ht="45" hidden="1" outlineLevel="1">
      <c r="A3096" s="2">
        <v>7</v>
      </c>
      <c r="B3096" s="2">
        <v>12</v>
      </c>
      <c r="C3096" s="2">
        <v>2</v>
      </c>
      <c r="D3096" s="2" t="e">
        <f>D3094+1</f>
        <v>#REF!</v>
      </c>
      <c r="E3096" s="20" t="e">
        <f>CONCATENATE(A3096,".",B3096,".",C3096,".",D3096)</f>
        <v>#REF!</v>
      </c>
      <c r="F3096" s="21" t="s">
        <v>4248</v>
      </c>
      <c r="G3096" s="65">
        <v>89724</v>
      </c>
      <c r="H3096" s="23" t="s">
        <v>812</v>
      </c>
      <c r="I3096" s="24" t="s">
        <v>36</v>
      </c>
      <c r="J3096" s="32"/>
      <c r="K3096" s="10"/>
      <c r="L3096" s="32"/>
      <c r="M3096" s="10"/>
      <c r="N3096" s="33"/>
      <c r="O3096" s="11">
        <f>SUM(O3097)</f>
        <v>34</v>
      </c>
    </row>
    <row r="3097" spans="1:15" hidden="1" outlineLevel="2">
      <c r="E3097" s="72"/>
      <c r="F3097" s="21"/>
      <c r="G3097" s="65"/>
      <c r="H3097" s="23"/>
      <c r="I3097" s="35"/>
      <c r="J3097" s="41"/>
      <c r="K3097" s="10"/>
      <c r="L3097" s="32"/>
      <c r="M3097" s="10"/>
      <c r="N3097" s="33">
        <v>34</v>
      </c>
      <c r="O3097" s="31">
        <f>ROUND(PRODUCT(J3097:N3097),2)</f>
        <v>34</v>
      </c>
    </row>
    <row r="3098" spans="1:15" ht="45" hidden="1" outlineLevel="1">
      <c r="A3098" s="2">
        <v>7</v>
      </c>
      <c r="B3098" s="2">
        <v>12</v>
      </c>
      <c r="C3098" s="2">
        <v>2</v>
      </c>
      <c r="D3098" s="2" t="e">
        <f>D3096+1</f>
        <v>#REF!</v>
      </c>
      <c r="E3098" s="20" t="e">
        <f>CONCATENATE(A3098,".",B3098,".",C3098,".",D3098)</f>
        <v>#REF!</v>
      </c>
      <c r="F3098" s="21" t="s">
        <v>4249</v>
      </c>
      <c r="G3098" s="65">
        <v>89731</v>
      </c>
      <c r="H3098" s="23" t="s">
        <v>782</v>
      </c>
      <c r="I3098" s="24" t="s">
        <v>36</v>
      </c>
      <c r="J3098" s="32"/>
      <c r="K3098" s="10"/>
      <c r="L3098" s="32"/>
      <c r="M3098" s="10"/>
      <c r="N3098" s="33"/>
      <c r="O3098" s="11">
        <f>SUM(O3099)</f>
        <v>8</v>
      </c>
    </row>
    <row r="3099" spans="1:15" hidden="1" outlineLevel="2">
      <c r="E3099" s="72"/>
      <c r="F3099" s="21"/>
      <c r="G3099" s="65"/>
      <c r="H3099" s="23"/>
      <c r="I3099" s="35"/>
      <c r="J3099" s="41"/>
      <c r="K3099" s="10"/>
      <c r="L3099" s="32"/>
      <c r="M3099" s="10"/>
      <c r="N3099" s="33">
        <v>8</v>
      </c>
      <c r="O3099" s="31">
        <f>ROUND(PRODUCT(J3099:N3099),2)</f>
        <v>8</v>
      </c>
    </row>
    <row r="3100" spans="1:15" ht="45" hidden="1" outlineLevel="1">
      <c r="A3100" s="2">
        <v>7</v>
      </c>
      <c r="B3100" s="2">
        <v>12</v>
      </c>
      <c r="C3100" s="2">
        <v>2</v>
      </c>
      <c r="D3100" s="2" t="e">
        <f>D3098+1</f>
        <v>#REF!</v>
      </c>
      <c r="E3100" s="20" t="e">
        <f>CONCATENATE(A3100,".",B3100,".",C3100,".",D3100)</f>
        <v>#REF!</v>
      </c>
      <c r="F3100" s="21" t="s">
        <v>4250</v>
      </c>
      <c r="G3100" s="65">
        <v>104345</v>
      </c>
      <c r="H3100" s="23" t="s">
        <v>794</v>
      </c>
      <c r="I3100" s="24" t="s">
        <v>36</v>
      </c>
      <c r="J3100" s="32"/>
      <c r="K3100" s="10"/>
      <c r="L3100" s="32"/>
      <c r="M3100" s="10"/>
      <c r="N3100" s="33"/>
      <c r="O3100" s="11">
        <f>SUM(O3101)</f>
        <v>3</v>
      </c>
    </row>
    <row r="3101" spans="1:15" hidden="1" outlineLevel="2">
      <c r="E3101" s="72"/>
      <c r="F3101" s="21"/>
      <c r="G3101" s="65"/>
      <c r="H3101" s="23"/>
      <c r="I3101" s="35"/>
      <c r="J3101" s="41"/>
      <c r="K3101" s="10"/>
      <c r="L3101" s="32"/>
      <c r="M3101" s="10"/>
      <c r="N3101" s="33">
        <v>3</v>
      </c>
      <c r="O3101" s="31">
        <f>ROUND(PRODUCT(J3101:N3101),2)</f>
        <v>3</v>
      </c>
    </row>
    <row r="3102" spans="1:15" ht="45" hidden="1" outlineLevel="1">
      <c r="A3102" s="2">
        <v>7</v>
      </c>
      <c r="B3102" s="2">
        <v>12</v>
      </c>
      <c r="C3102" s="2">
        <v>2</v>
      </c>
      <c r="D3102" s="2" t="e">
        <f>D3100+1</f>
        <v>#REF!</v>
      </c>
      <c r="E3102" s="20" t="e">
        <f>CONCATENATE(A3102,".",B3102,".",C3102,".",D3102)</f>
        <v>#REF!</v>
      </c>
      <c r="F3102" s="21" t="s">
        <v>4251</v>
      </c>
      <c r="G3102" s="65">
        <v>89783</v>
      </c>
      <c r="H3102" s="23" t="s">
        <v>785</v>
      </c>
      <c r="I3102" s="24" t="s">
        <v>36</v>
      </c>
      <c r="J3102" s="32"/>
      <c r="K3102" s="10"/>
      <c r="L3102" s="32"/>
      <c r="M3102" s="10"/>
      <c r="N3102" s="33"/>
      <c r="O3102" s="11">
        <f>SUM(O3103)</f>
        <v>8</v>
      </c>
    </row>
    <row r="3103" spans="1:15" hidden="1" outlineLevel="2">
      <c r="E3103" s="72"/>
      <c r="F3103" s="21"/>
      <c r="G3103" s="65"/>
      <c r="H3103" s="23"/>
      <c r="I3103" s="35"/>
      <c r="J3103" s="41"/>
      <c r="K3103" s="10"/>
      <c r="L3103" s="32"/>
      <c r="M3103" s="10"/>
      <c r="N3103" s="33">
        <v>8</v>
      </c>
      <c r="O3103" s="31">
        <f>ROUND(PRODUCT(J3103:N3103),2)</f>
        <v>8</v>
      </c>
    </row>
    <row r="3104" spans="1:15" ht="45" hidden="1" outlineLevel="1">
      <c r="A3104" s="2">
        <v>7</v>
      </c>
      <c r="B3104" s="2">
        <v>12</v>
      </c>
      <c r="C3104" s="2">
        <v>2</v>
      </c>
      <c r="D3104" s="2" t="e">
        <f>D3102+1</f>
        <v>#REF!</v>
      </c>
      <c r="E3104" s="20" t="e">
        <f>CONCATENATE(A3104,".",B3104,".",C3104,".",D3104)</f>
        <v>#REF!</v>
      </c>
      <c r="F3104" s="21" t="s">
        <v>4252</v>
      </c>
      <c r="G3104" s="65">
        <v>89785</v>
      </c>
      <c r="H3104" s="23" t="s">
        <v>788</v>
      </c>
      <c r="I3104" s="24" t="s">
        <v>36</v>
      </c>
      <c r="J3104" s="32"/>
      <c r="K3104" s="10"/>
      <c r="L3104" s="32"/>
      <c r="M3104" s="10"/>
      <c r="N3104" s="33"/>
      <c r="O3104" s="11">
        <f>SUM(O3105)</f>
        <v>2</v>
      </c>
    </row>
    <row r="3105" spans="1:16" hidden="1" outlineLevel="2">
      <c r="E3105" s="72"/>
      <c r="F3105" s="21"/>
      <c r="G3105" s="65"/>
      <c r="H3105" s="23"/>
      <c r="I3105" s="35"/>
      <c r="J3105" s="41"/>
      <c r="K3105" s="10"/>
      <c r="L3105" s="32"/>
      <c r="M3105" s="10"/>
      <c r="N3105" s="33">
        <v>2</v>
      </c>
      <c r="O3105" s="31">
        <f>ROUND(PRODUCT(J3105:N3105),2)</f>
        <v>2</v>
      </c>
    </row>
    <row r="3106" spans="1:16" ht="45" hidden="1" outlineLevel="1">
      <c r="A3106" s="2">
        <v>7</v>
      </c>
      <c r="B3106" s="2">
        <v>12</v>
      </c>
      <c r="C3106" s="2">
        <v>2</v>
      </c>
      <c r="D3106" s="2" t="e">
        <f>D3104+1</f>
        <v>#REF!</v>
      </c>
      <c r="E3106" s="20" t="e">
        <f>CONCATENATE(A3106,".",B3106,".",C3106,".",D3106)</f>
        <v>#REF!</v>
      </c>
      <c r="F3106" s="21" t="s">
        <v>4253</v>
      </c>
      <c r="G3106" s="65">
        <v>89850</v>
      </c>
      <c r="H3106" s="23" t="s">
        <v>815</v>
      </c>
      <c r="I3106" s="24" t="s">
        <v>36</v>
      </c>
      <c r="J3106" s="32"/>
      <c r="K3106" s="10"/>
      <c r="L3106" s="32"/>
      <c r="M3106" s="10"/>
      <c r="N3106" s="33"/>
      <c r="O3106" s="11">
        <f>SUM(O3107)</f>
        <v>5</v>
      </c>
    </row>
    <row r="3107" spans="1:16" hidden="1" outlineLevel="2">
      <c r="E3107" s="72"/>
      <c r="F3107" s="21"/>
      <c r="G3107" s="65"/>
      <c r="H3107" s="23"/>
      <c r="I3107" s="35"/>
      <c r="J3107" s="41"/>
      <c r="K3107" s="10"/>
      <c r="L3107" s="32"/>
      <c r="M3107" s="10"/>
      <c r="N3107" s="33">
        <v>5</v>
      </c>
      <c r="O3107" s="31">
        <f>ROUND(PRODUCT(J3107:N3107),2)</f>
        <v>5</v>
      </c>
    </row>
    <row r="3108" spans="1:16" ht="45" hidden="1" outlineLevel="1">
      <c r="A3108" s="2">
        <v>7</v>
      </c>
      <c r="B3108" s="2">
        <v>12</v>
      </c>
      <c r="C3108" s="2">
        <v>2</v>
      </c>
      <c r="D3108" s="2" t="e">
        <f>D3106+1</f>
        <v>#REF!</v>
      </c>
      <c r="E3108" s="20" t="e">
        <f>CONCATENATE(A3108,".",B3108,".",C3108,".",D3108)</f>
        <v>#REF!</v>
      </c>
      <c r="F3108" s="21" t="s">
        <v>4254</v>
      </c>
      <c r="G3108" s="65">
        <v>104348</v>
      </c>
      <c r="H3108" s="23" t="s">
        <v>800</v>
      </c>
      <c r="I3108" s="24" t="s">
        <v>36</v>
      </c>
      <c r="J3108" s="32"/>
      <c r="K3108" s="10"/>
      <c r="L3108" s="32"/>
      <c r="M3108" s="10"/>
      <c r="N3108" s="33"/>
      <c r="O3108" s="11">
        <f>SUM(O3109)</f>
        <v>1</v>
      </c>
    </row>
    <row r="3109" spans="1:16" hidden="1" outlineLevel="2">
      <c r="E3109" s="72"/>
      <c r="F3109" s="21"/>
      <c r="G3109" s="65"/>
      <c r="H3109" s="23"/>
      <c r="I3109" s="35"/>
      <c r="J3109" s="41"/>
      <c r="K3109" s="10"/>
      <c r="L3109" s="32"/>
      <c r="M3109" s="10"/>
      <c r="N3109" s="33">
        <v>1</v>
      </c>
      <c r="O3109" s="31">
        <f>ROUND(PRODUCT(J3109:N3109),2)</f>
        <v>1</v>
      </c>
    </row>
    <row r="3110" spans="1:16" ht="45" hidden="1" outlineLevel="1">
      <c r="A3110" s="2">
        <v>7</v>
      </c>
      <c r="B3110" s="2">
        <v>12</v>
      </c>
      <c r="C3110" s="2">
        <v>2</v>
      </c>
      <c r="D3110" s="2" t="e">
        <f>#REF!+1</f>
        <v>#REF!</v>
      </c>
      <c r="E3110" s="20" t="e">
        <f>CONCATENATE(A3110,".",B3110,".",C3110,".",D3110)</f>
        <v>#REF!</v>
      </c>
      <c r="F3110" s="21" t="s">
        <v>4255</v>
      </c>
      <c r="G3110" s="65">
        <v>89834</v>
      </c>
      <c r="H3110" s="23" t="s">
        <v>1133</v>
      </c>
      <c r="I3110" s="24" t="s">
        <v>36</v>
      </c>
      <c r="J3110" s="32"/>
      <c r="K3110" s="10"/>
      <c r="L3110" s="32"/>
      <c r="M3110" s="10"/>
      <c r="N3110" s="33"/>
      <c r="O3110" s="11">
        <f>SUM(O3111)</f>
        <v>2</v>
      </c>
    </row>
    <row r="3111" spans="1:16" hidden="1" outlineLevel="2">
      <c r="E3111" s="72"/>
      <c r="F3111" s="21"/>
      <c r="G3111" s="65"/>
      <c r="H3111" s="23"/>
      <c r="I3111" s="35"/>
      <c r="J3111" s="41"/>
      <c r="K3111" s="10"/>
      <c r="L3111" s="32"/>
      <c r="M3111" s="10"/>
      <c r="N3111" s="33">
        <v>2</v>
      </c>
      <c r="O3111" s="31">
        <f>ROUND(PRODUCT(J3111:N3111),2)</f>
        <v>2</v>
      </c>
    </row>
    <row r="3112" spans="1:16" ht="45" hidden="1" outlineLevel="1">
      <c r="A3112" s="2">
        <v>7</v>
      </c>
      <c r="B3112" s="2">
        <v>12</v>
      </c>
      <c r="C3112" s="2">
        <v>2</v>
      </c>
      <c r="D3112" s="2" t="e">
        <f>D3110+1</f>
        <v>#REF!</v>
      </c>
      <c r="E3112" s="20" t="e">
        <f>CONCATENATE(A3112,".",B3112,".",C3112,".",D3112)</f>
        <v>#REF!</v>
      </c>
      <c r="F3112" s="21" t="s">
        <v>4256</v>
      </c>
      <c r="G3112" s="65">
        <v>89825</v>
      </c>
      <c r="H3112" s="23" t="s">
        <v>806</v>
      </c>
      <c r="I3112" s="24" t="s">
        <v>36</v>
      </c>
      <c r="J3112" s="32"/>
      <c r="K3112" s="10"/>
      <c r="L3112" s="32"/>
      <c r="M3112" s="10"/>
      <c r="N3112" s="33"/>
      <c r="O3112" s="11">
        <f>SUM(O3113)</f>
        <v>8</v>
      </c>
    </row>
    <row r="3113" spans="1:16" hidden="1" outlineLevel="2">
      <c r="E3113" s="72"/>
      <c r="F3113" s="21"/>
      <c r="G3113" s="65"/>
      <c r="H3113" s="23"/>
      <c r="I3113" s="35"/>
      <c r="J3113" s="41"/>
      <c r="K3113" s="10"/>
      <c r="L3113" s="32"/>
      <c r="M3113" s="10"/>
      <c r="N3113" s="33">
        <v>8</v>
      </c>
      <c r="O3113" s="31">
        <f>ROUND(PRODUCT(J3113:N3113),2)</f>
        <v>8</v>
      </c>
    </row>
    <row r="3114" spans="1:16" ht="45" hidden="1" outlineLevel="1">
      <c r="A3114" s="2">
        <v>7</v>
      </c>
      <c r="B3114" s="2">
        <v>12</v>
      </c>
      <c r="C3114" s="2">
        <v>2</v>
      </c>
      <c r="D3114" s="2" t="e">
        <f>#REF!+1</f>
        <v>#REF!</v>
      </c>
      <c r="E3114" s="20" t="e">
        <f>CONCATENATE(A3114,".",B3114,".",C3114,".",D3114)</f>
        <v>#REF!</v>
      </c>
      <c r="F3114" s="21" t="s">
        <v>4257</v>
      </c>
      <c r="G3114" s="22">
        <v>1055</v>
      </c>
      <c r="H3114" s="23" t="s">
        <v>827</v>
      </c>
      <c r="I3114" s="24" t="s">
        <v>36</v>
      </c>
      <c r="J3114" s="32"/>
      <c r="K3114" s="10"/>
      <c r="L3114" s="32"/>
      <c r="M3114" s="10"/>
      <c r="N3114" s="33"/>
      <c r="O3114" s="11">
        <f>SUM(O3115)</f>
        <v>5</v>
      </c>
      <c r="P3114" s="185"/>
    </row>
    <row r="3115" spans="1:16" hidden="1" outlineLevel="2">
      <c r="E3115" s="72"/>
      <c r="F3115" s="21"/>
      <c r="G3115" s="65"/>
      <c r="H3115" s="23"/>
      <c r="I3115" s="35"/>
      <c r="J3115" s="41"/>
      <c r="K3115" s="10"/>
      <c r="L3115" s="32"/>
      <c r="M3115" s="10"/>
      <c r="N3115" s="33">
        <v>5</v>
      </c>
      <c r="O3115" s="31">
        <f>ROUND(PRODUCT(J3115:N3115),2)</f>
        <v>5</v>
      </c>
    </row>
    <row r="3116" spans="1:16" hidden="1" outlineLevel="1">
      <c r="A3116" s="2">
        <v>7</v>
      </c>
      <c r="B3116" s="2">
        <v>12</v>
      </c>
      <c r="C3116" s="2">
        <v>2</v>
      </c>
      <c r="D3116" s="2" t="e">
        <f>D3114+1</f>
        <v>#REF!</v>
      </c>
      <c r="E3116" s="20" t="e">
        <f>CONCATENATE(A3116,".",B3116,".",C3116,".",D3116)</f>
        <v>#REF!</v>
      </c>
      <c r="F3116" s="21" t="s">
        <v>4258</v>
      </c>
      <c r="G3116" s="22">
        <v>2351</v>
      </c>
      <c r="H3116" s="23" t="s">
        <v>833</v>
      </c>
      <c r="I3116" s="24" t="s">
        <v>36</v>
      </c>
      <c r="J3116" s="32"/>
      <c r="K3116" s="10"/>
      <c r="L3116" s="32"/>
      <c r="M3116" s="10"/>
      <c r="N3116" s="33"/>
      <c r="O3116" s="11">
        <f>SUM(O3117)</f>
        <v>5</v>
      </c>
      <c r="P3116" s="185"/>
    </row>
    <row r="3117" spans="1:16" hidden="1" outlineLevel="2">
      <c r="E3117" s="72"/>
      <c r="F3117" s="21"/>
      <c r="G3117" s="65"/>
      <c r="H3117" s="23"/>
      <c r="I3117" s="35"/>
      <c r="J3117" s="41"/>
      <c r="K3117" s="10"/>
      <c r="L3117" s="32"/>
      <c r="M3117" s="10"/>
      <c r="N3117" s="33">
        <v>5</v>
      </c>
      <c r="O3117" s="31">
        <f>ROUND(PRODUCT(J3117:N3117),2)</f>
        <v>5</v>
      </c>
    </row>
    <row r="3118" spans="1:16" ht="30" hidden="1" outlineLevel="1">
      <c r="A3118" s="2">
        <v>7</v>
      </c>
      <c r="B3118" s="2">
        <v>12</v>
      </c>
      <c r="C3118" s="2">
        <v>2</v>
      </c>
      <c r="D3118" s="2" t="e">
        <f>D3116+1</f>
        <v>#REF!</v>
      </c>
      <c r="E3118" s="20" t="e">
        <f>CONCATENATE(A3118,".",B3118,".",C3118,".",D3118)</f>
        <v>#REF!</v>
      </c>
      <c r="F3118" s="21" t="s">
        <v>4259</v>
      </c>
      <c r="G3118" s="22">
        <v>2358</v>
      </c>
      <c r="H3118" s="23" t="s">
        <v>824</v>
      </c>
      <c r="I3118" s="24" t="s">
        <v>36</v>
      </c>
      <c r="J3118" s="32"/>
      <c r="K3118" s="10"/>
      <c r="L3118" s="32"/>
      <c r="M3118" s="10"/>
      <c r="N3118" s="33"/>
      <c r="O3118" s="11">
        <f>SUM(O3119)</f>
        <v>4</v>
      </c>
      <c r="P3118" s="185"/>
    </row>
    <row r="3119" spans="1:16" hidden="1" outlineLevel="2">
      <c r="E3119" s="72"/>
      <c r="F3119" s="21"/>
      <c r="G3119" s="65"/>
      <c r="H3119" s="23"/>
      <c r="I3119" s="35"/>
      <c r="J3119" s="41"/>
      <c r="K3119" s="10"/>
      <c r="L3119" s="32"/>
      <c r="M3119" s="10"/>
      <c r="N3119" s="33">
        <v>4</v>
      </c>
      <c r="O3119" s="31">
        <f>ROUND(PRODUCT(J3119:N3119),2)</f>
        <v>4</v>
      </c>
    </row>
    <row r="3120" spans="1:16" ht="45" hidden="1" outlineLevel="1">
      <c r="A3120" s="2">
        <v>7</v>
      </c>
      <c r="B3120" s="2">
        <v>12</v>
      </c>
      <c r="C3120" s="2">
        <v>2</v>
      </c>
      <c r="D3120" s="2" t="e">
        <f>D3118+1</f>
        <v>#REF!</v>
      </c>
      <c r="E3120" s="20" t="e">
        <f>CONCATENATE(A3120,".",B3120,".",C3120,".",D3120)</f>
        <v>#REF!</v>
      </c>
      <c r="F3120" s="21" t="s">
        <v>4260</v>
      </c>
      <c r="G3120" s="22">
        <v>339</v>
      </c>
      <c r="H3120" s="23" t="s">
        <v>4261</v>
      </c>
      <c r="I3120" s="24" t="s">
        <v>36</v>
      </c>
      <c r="J3120" s="32"/>
      <c r="K3120" s="10"/>
      <c r="L3120" s="32"/>
      <c r="M3120" s="10"/>
      <c r="N3120" s="33"/>
      <c r="O3120" s="11">
        <f>SUM(O3121)</f>
        <v>1</v>
      </c>
      <c r="P3120" s="185"/>
    </row>
    <row r="3121" spans="1:17" hidden="1" outlineLevel="2">
      <c r="E3121" s="72"/>
      <c r="F3121" s="21"/>
      <c r="G3121" s="65"/>
      <c r="H3121" s="23"/>
      <c r="I3121" s="35"/>
      <c r="J3121" s="41"/>
      <c r="K3121" s="10"/>
      <c r="L3121" s="32"/>
      <c r="M3121" s="10"/>
      <c r="N3121" s="33">
        <v>1</v>
      </c>
      <c r="O3121" s="31">
        <f>ROUND(PRODUCT(J3121:N3121),2)</f>
        <v>1</v>
      </c>
    </row>
    <row r="3122" spans="1:17" collapsed="1">
      <c r="A3122" s="2">
        <v>7</v>
      </c>
      <c r="B3122" s="2">
        <v>12</v>
      </c>
      <c r="C3122" s="2">
        <v>3</v>
      </c>
      <c r="E3122" s="42" t="str">
        <f>CONCATENATE(A3122,".",B3122,".",C3122)</f>
        <v>7.12.3</v>
      </c>
      <c r="F3122" s="45" t="s">
        <v>4262</v>
      </c>
      <c r="G3122" s="13"/>
      <c r="H3122" s="14" t="s">
        <v>375</v>
      </c>
      <c r="I3122" s="15"/>
      <c r="J3122" s="16"/>
      <c r="K3122" s="17"/>
      <c r="L3122" s="16"/>
      <c r="M3122" s="17"/>
      <c r="N3122" s="18"/>
      <c r="O3122" s="19"/>
      <c r="P3122" s="185"/>
      <c r="Q3122" s="185"/>
    </row>
    <row r="3123" spans="1:17" ht="30" hidden="1" outlineLevel="1">
      <c r="A3123" s="2">
        <v>7</v>
      </c>
      <c r="B3123" s="2">
        <v>12</v>
      </c>
      <c r="C3123" s="2">
        <v>3</v>
      </c>
      <c r="D3123" s="2">
        <v>1</v>
      </c>
      <c r="E3123" s="66" t="str">
        <f>CONCATENATE(A3123,".",B3123,".",C3123,".",D3123)</f>
        <v>7.12.3.1</v>
      </c>
      <c r="F3123" s="21" t="s">
        <v>4263</v>
      </c>
      <c r="G3123" s="22">
        <v>86888</v>
      </c>
      <c r="H3123" s="23" t="s">
        <v>378</v>
      </c>
      <c r="I3123" s="24" t="s">
        <v>36</v>
      </c>
      <c r="J3123" s="32"/>
      <c r="K3123" s="10"/>
      <c r="L3123" s="32"/>
      <c r="M3123" s="10"/>
      <c r="N3123" s="33"/>
      <c r="O3123" s="11">
        <f>SUM(O3124:O3124)</f>
        <v>4</v>
      </c>
      <c r="P3123" s="185"/>
      <c r="Q3123" s="185"/>
    </row>
    <row r="3124" spans="1:17" hidden="1" outlineLevel="1">
      <c r="E3124" s="72"/>
      <c r="F3124" s="21"/>
      <c r="G3124" s="22"/>
      <c r="H3124" s="30"/>
      <c r="I3124" s="24"/>
      <c r="J3124" s="32"/>
      <c r="K3124" s="64"/>
      <c r="L3124" s="32"/>
      <c r="M3124" s="10"/>
      <c r="N3124" s="33">
        <v>4</v>
      </c>
      <c r="O3124" s="58">
        <f>ROUND(PRODUCT(J3124:N3124),2)</f>
        <v>4</v>
      </c>
    </row>
    <row r="3125" spans="1:17" ht="30" hidden="1" outlineLevel="1">
      <c r="A3125" s="2">
        <v>7</v>
      </c>
      <c r="B3125" s="2">
        <v>12</v>
      </c>
      <c r="C3125" s="2">
        <v>3</v>
      </c>
      <c r="D3125" s="2">
        <f>D3123+1</f>
        <v>2</v>
      </c>
      <c r="E3125" s="66" t="str">
        <f>CONCATENATE(A3125,".",B3125,".",C3125,".",D3125)</f>
        <v>7.12.3.2</v>
      </c>
      <c r="F3125" s="21" t="s">
        <v>4264</v>
      </c>
      <c r="G3125" s="22">
        <v>95471</v>
      </c>
      <c r="H3125" s="23" t="s">
        <v>3313</v>
      </c>
      <c r="I3125" s="24" t="s">
        <v>36</v>
      </c>
      <c r="J3125" s="32"/>
      <c r="K3125" s="10"/>
      <c r="L3125" s="32"/>
      <c r="M3125" s="10"/>
      <c r="N3125" s="33"/>
      <c r="O3125" s="11">
        <f>SUM(O3126:O3126)</f>
        <v>1</v>
      </c>
      <c r="P3125" s="185"/>
      <c r="Q3125" s="185"/>
    </row>
    <row r="3126" spans="1:17" hidden="1" outlineLevel="1">
      <c r="E3126" s="72"/>
      <c r="F3126" s="21"/>
      <c r="G3126" s="22"/>
      <c r="H3126" s="30"/>
      <c r="I3126" s="35"/>
      <c r="J3126" s="41"/>
      <c r="K3126" s="64"/>
      <c r="L3126" s="41"/>
      <c r="M3126" s="33"/>
      <c r="N3126" s="33">
        <v>1</v>
      </c>
      <c r="O3126" s="58">
        <f>ROUND(PRODUCT(J3126:N3126),2)</f>
        <v>1</v>
      </c>
    </row>
    <row r="3127" spans="1:17" ht="45" hidden="1" outlineLevel="1">
      <c r="A3127" s="2">
        <v>7</v>
      </c>
      <c r="B3127" s="2">
        <v>12</v>
      </c>
      <c r="C3127" s="2">
        <v>3</v>
      </c>
      <c r="D3127" s="2">
        <f>D3125+1</f>
        <v>3</v>
      </c>
      <c r="E3127" s="20" t="str">
        <f>CONCATENATE(A3127,".",B3127,".",C3127,".",D3127)</f>
        <v>7.12.3.3</v>
      </c>
      <c r="F3127" s="21" t="s">
        <v>4265</v>
      </c>
      <c r="G3127" s="22">
        <v>410</v>
      </c>
      <c r="H3127" s="23" t="s">
        <v>3317</v>
      </c>
      <c r="I3127" s="24" t="s">
        <v>36</v>
      </c>
      <c r="J3127" s="32"/>
      <c r="K3127" s="10"/>
      <c r="L3127" s="32"/>
      <c r="M3127" s="10"/>
      <c r="N3127" s="33"/>
      <c r="O3127" s="11">
        <f>SUM(O3128:O3128)</f>
        <v>3</v>
      </c>
      <c r="P3127" s="185"/>
      <c r="Q3127" s="185"/>
    </row>
    <row r="3128" spans="1:17" hidden="1" outlineLevel="1">
      <c r="E3128" s="72"/>
      <c r="F3128" s="21"/>
      <c r="G3128" s="22"/>
      <c r="H3128" s="30"/>
      <c r="I3128" s="35"/>
      <c r="J3128" s="41"/>
      <c r="K3128" s="64"/>
      <c r="L3128" s="41"/>
      <c r="M3128" s="33"/>
      <c r="N3128" s="33">
        <v>3</v>
      </c>
      <c r="O3128" s="58">
        <f>ROUND(PRODUCT(J3128:N3128),2)</f>
        <v>3</v>
      </c>
    </row>
    <row r="3129" spans="1:17" hidden="1" outlineLevel="1">
      <c r="A3129" s="2">
        <v>7</v>
      </c>
      <c r="B3129" s="2">
        <v>12</v>
      </c>
      <c r="C3129" s="2">
        <v>3</v>
      </c>
      <c r="D3129" s="2">
        <f>D3127+1</f>
        <v>4</v>
      </c>
      <c r="E3129" s="20" t="str">
        <f>CONCATENATE(A3129,".",B3129,".",C3129,".",D3129)</f>
        <v>7.12.3.4</v>
      </c>
      <c r="F3129" s="21" t="s">
        <v>4266</v>
      </c>
      <c r="G3129" s="22" t="s">
        <v>383</v>
      </c>
      <c r="H3129" s="23" t="s">
        <v>384</v>
      </c>
      <c r="I3129" s="24" t="s">
        <v>36</v>
      </c>
      <c r="J3129" s="32"/>
      <c r="K3129" s="10"/>
      <c r="L3129" s="32"/>
      <c r="M3129" s="10"/>
      <c r="N3129" s="33"/>
      <c r="O3129" s="11">
        <f>SUM(O3130:O3130)</f>
        <v>5</v>
      </c>
      <c r="P3129" s="185"/>
      <c r="Q3129" s="185"/>
    </row>
    <row r="3130" spans="1:17" hidden="1" outlineLevel="1">
      <c r="E3130" s="72"/>
      <c r="F3130" s="21"/>
      <c r="G3130" s="22"/>
      <c r="H3130" s="30"/>
      <c r="I3130" s="35"/>
      <c r="J3130" s="41"/>
      <c r="K3130" s="64"/>
      <c r="L3130" s="41"/>
      <c r="M3130" s="33"/>
      <c r="N3130" s="33">
        <v>5</v>
      </c>
      <c r="O3130" s="58">
        <f>ROUND(PRODUCT(J3130:N3130),2)</f>
        <v>5</v>
      </c>
    </row>
    <row r="3131" spans="1:17" ht="30" hidden="1" outlineLevel="1">
      <c r="A3131" s="2">
        <v>7</v>
      </c>
      <c r="B3131" s="2">
        <v>12</v>
      </c>
      <c r="C3131" s="2">
        <v>3</v>
      </c>
      <c r="D3131" s="2">
        <f>D3129+1</f>
        <v>5</v>
      </c>
      <c r="E3131" s="20" t="str">
        <f>CONCATENATE(A3131,".",B3131,".",C3131,".",D3131)</f>
        <v>7.12.3.5</v>
      </c>
      <c r="F3131" s="21" t="s">
        <v>4267</v>
      </c>
      <c r="G3131" s="22">
        <v>86915</v>
      </c>
      <c r="H3131" s="23" t="s">
        <v>405</v>
      </c>
      <c r="I3131" s="24" t="s">
        <v>36</v>
      </c>
      <c r="J3131" s="32"/>
      <c r="K3131" s="10"/>
      <c r="L3131" s="32"/>
      <c r="M3131" s="10"/>
      <c r="N3131" s="33"/>
      <c r="O3131" s="11">
        <f>SUM(O3132:O3132)</f>
        <v>3</v>
      </c>
      <c r="P3131" s="185"/>
      <c r="Q3131" s="185"/>
    </row>
    <row r="3132" spans="1:17" hidden="1" outlineLevel="1">
      <c r="E3132" s="72"/>
      <c r="F3132" s="21"/>
      <c r="G3132" s="22"/>
      <c r="H3132" s="30"/>
      <c r="I3132" s="62"/>
      <c r="J3132" s="37"/>
      <c r="K3132" s="38"/>
      <c r="L3132" s="37"/>
      <c r="M3132" s="38"/>
      <c r="N3132" s="38">
        <v>3</v>
      </c>
      <c r="O3132" s="58">
        <f>ROUND(PRODUCT(J3132:N3132),2)</f>
        <v>3</v>
      </c>
    </row>
    <row r="3133" spans="1:17" hidden="1" outlineLevel="1">
      <c r="A3133" s="2">
        <v>7</v>
      </c>
      <c r="B3133" s="2">
        <v>12</v>
      </c>
      <c r="C3133" s="2">
        <v>3</v>
      </c>
      <c r="D3133" s="2">
        <f>D3131+1</f>
        <v>6</v>
      </c>
      <c r="E3133" s="20" t="str">
        <f>CONCATENATE(A3133,".",B3133,".",C3133,".",D3133)</f>
        <v>7.12.3.6</v>
      </c>
      <c r="F3133" s="21" t="s">
        <v>4268</v>
      </c>
      <c r="G3133" s="22">
        <v>371</v>
      </c>
      <c r="H3133" s="23" t="s">
        <v>417</v>
      </c>
      <c r="I3133" s="24" t="s">
        <v>36</v>
      </c>
      <c r="J3133" s="32"/>
      <c r="K3133" s="10"/>
      <c r="L3133" s="32"/>
      <c r="M3133" s="10"/>
      <c r="N3133" s="33"/>
      <c r="O3133" s="11">
        <f>SUM(O3134:O3134)</f>
        <v>2</v>
      </c>
      <c r="P3133" s="185"/>
      <c r="Q3133" s="185"/>
    </row>
    <row r="3134" spans="1:17" hidden="1" outlineLevel="1">
      <c r="E3134" s="72"/>
      <c r="F3134" s="21"/>
      <c r="G3134" s="22"/>
      <c r="H3134" s="30"/>
      <c r="I3134" s="62"/>
      <c r="J3134" s="37"/>
      <c r="K3134" s="38"/>
      <c r="L3134" s="37"/>
      <c r="M3134" s="38"/>
      <c r="N3134" s="38">
        <v>2</v>
      </c>
      <c r="O3134" s="58">
        <f>ROUND(PRODUCT(J3134:N3134),2)</f>
        <v>2</v>
      </c>
    </row>
    <row r="3135" spans="1:17" hidden="1" outlineLevel="1">
      <c r="A3135" s="2">
        <v>7</v>
      </c>
      <c r="B3135" s="2">
        <v>12</v>
      </c>
      <c r="C3135" s="2">
        <v>3</v>
      </c>
      <c r="D3135" s="2">
        <f>D3133+1</f>
        <v>7</v>
      </c>
      <c r="E3135" s="66" t="str">
        <f>CONCATENATE(A3135,".",B3135,".",C3135,".",D3135)</f>
        <v>7.12.3.7</v>
      </c>
      <c r="F3135" s="21" t="s">
        <v>4269</v>
      </c>
      <c r="G3135" s="22">
        <v>95547</v>
      </c>
      <c r="H3135" s="23" t="s">
        <v>3330</v>
      </c>
      <c r="I3135" s="24" t="s">
        <v>36</v>
      </c>
      <c r="J3135" s="32"/>
      <c r="K3135" s="10"/>
      <c r="L3135" s="32"/>
      <c r="M3135" s="10"/>
      <c r="N3135" s="33"/>
      <c r="O3135" s="11">
        <f>SUM(O3136)</f>
        <v>3</v>
      </c>
      <c r="P3135" s="185"/>
      <c r="Q3135" s="185"/>
    </row>
    <row r="3136" spans="1:17" hidden="1" outlineLevel="1">
      <c r="E3136" s="72"/>
      <c r="F3136" s="21"/>
      <c r="G3136" s="22"/>
      <c r="H3136" s="30"/>
      <c r="I3136" s="62"/>
      <c r="J3136" s="37"/>
      <c r="K3136" s="38"/>
      <c r="L3136" s="37"/>
      <c r="M3136" s="38"/>
      <c r="N3136" s="38">
        <v>3</v>
      </c>
      <c r="O3136" s="58">
        <f>ROUND(PRODUCT(J3136:N3136),2)</f>
        <v>3</v>
      </c>
    </row>
    <row r="3137" spans="1:17" hidden="1" outlineLevel="1">
      <c r="A3137" s="2">
        <v>7</v>
      </c>
      <c r="B3137" s="2">
        <v>12</v>
      </c>
      <c r="C3137" s="2">
        <v>3</v>
      </c>
      <c r="D3137" s="2">
        <f>D3135+1</f>
        <v>8</v>
      </c>
      <c r="E3137" s="20" t="str">
        <f>CONCATENATE(A3137,".",B3137,".",C3137,".",D3137)</f>
        <v>7.12.3.8</v>
      </c>
      <c r="F3137" s="21" t="s">
        <v>4270</v>
      </c>
      <c r="G3137" s="22">
        <v>286</v>
      </c>
      <c r="H3137" s="23" t="s">
        <v>3336</v>
      </c>
      <c r="I3137" s="24" t="s">
        <v>2798</v>
      </c>
      <c r="J3137" s="32"/>
      <c r="K3137" s="10"/>
      <c r="L3137" s="32"/>
      <c r="M3137" s="10"/>
      <c r="N3137" s="33"/>
      <c r="O3137" s="11">
        <f>SUM(O3138)</f>
        <v>1.5</v>
      </c>
      <c r="P3137" s="185"/>
      <c r="Q3137" s="185"/>
    </row>
    <row r="3138" spans="1:17" hidden="1" outlineLevel="1">
      <c r="E3138" s="72"/>
      <c r="F3138" s="21"/>
      <c r="G3138" s="22"/>
      <c r="H3138" s="30"/>
      <c r="I3138" s="62"/>
      <c r="J3138" s="37"/>
      <c r="K3138" s="38">
        <v>0.5</v>
      </c>
      <c r="L3138" s="37">
        <v>1</v>
      </c>
      <c r="M3138" s="38"/>
      <c r="N3138" s="38">
        <v>3</v>
      </c>
      <c r="O3138" s="58">
        <f>ROUND(PRODUCT(J3138:N3138),2)</f>
        <v>1.5</v>
      </c>
    </row>
    <row r="3139" spans="1:17" ht="30" hidden="1" outlineLevel="1">
      <c r="A3139" s="2">
        <v>7</v>
      </c>
      <c r="B3139" s="2">
        <v>12</v>
      </c>
      <c r="C3139" s="2">
        <v>3</v>
      </c>
      <c r="D3139" s="2">
        <f>D3137+1</f>
        <v>9</v>
      </c>
      <c r="E3139" s="20" t="str">
        <f>CONCATENATE(A3139,".",B3139,".",C3139,".",D3139)</f>
        <v>7.12.3.9</v>
      </c>
      <c r="F3139" s="21" t="s">
        <v>4271</v>
      </c>
      <c r="G3139" s="22">
        <v>100871</v>
      </c>
      <c r="H3139" s="23" t="s">
        <v>3322</v>
      </c>
      <c r="I3139" s="24" t="s">
        <v>36</v>
      </c>
      <c r="J3139" s="32"/>
      <c r="K3139" s="10"/>
      <c r="L3139" s="32"/>
      <c r="M3139" s="10"/>
      <c r="N3139" s="33"/>
      <c r="O3139" s="11">
        <f>SUM(O3140)</f>
        <v>1</v>
      </c>
      <c r="P3139" s="185"/>
      <c r="Q3139" s="185"/>
    </row>
    <row r="3140" spans="1:17" hidden="1" outlineLevel="1">
      <c r="E3140" s="72"/>
      <c r="F3140" s="21"/>
      <c r="G3140" s="22"/>
      <c r="H3140" s="30"/>
      <c r="I3140" s="35"/>
      <c r="J3140" s="41"/>
      <c r="K3140" s="64"/>
      <c r="L3140" s="41"/>
      <c r="M3140" s="33"/>
      <c r="N3140" s="33">
        <v>1</v>
      </c>
      <c r="O3140" s="58">
        <f>ROUND(PRODUCT(J3140:N3140),2)</f>
        <v>1</v>
      </c>
    </row>
    <row r="3141" spans="1:17" ht="30" hidden="1" outlineLevel="1">
      <c r="A3141" s="2">
        <v>7</v>
      </c>
      <c r="B3141" s="2">
        <v>12</v>
      </c>
      <c r="C3141" s="2">
        <v>3</v>
      </c>
      <c r="D3141" s="2">
        <f>D3139+1</f>
        <v>10</v>
      </c>
      <c r="E3141" s="20" t="str">
        <f>CONCATENATE(A3141,".",B3141,".",C3141,".",D3141)</f>
        <v>7.12.3.10</v>
      </c>
      <c r="F3141" s="21" t="s">
        <v>4272</v>
      </c>
      <c r="G3141" s="22">
        <v>376</v>
      </c>
      <c r="H3141" s="23" t="s">
        <v>435</v>
      </c>
      <c r="I3141" s="24" t="s">
        <v>36</v>
      </c>
      <c r="J3141" s="32"/>
      <c r="K3141" s="10"/>
      <c r="L3141" s="32"/>
      <c r="M3141" s="10"/>
      <c r="N3141" s="33"/>
      <c r="O3141" s="11">
        <f>SUM(O3142)</f>
        <v>3</v>
      </c>
      <c r="P3141" s="185"/>
      <c r="Q3141" s="185"/>
    </row>
    <row r="3142" spans="1:17" hidden="1" outlineLevel="1">
      <c r="E3142" s="72"/>
      <c r="F3142" s="21"/>
      <c r="G3142" s="22"/>
      <c r="H3142" s="30"/>
      <c r="I3142" s="62"/>
      <c r="J3142" s="37"/>
      <c r="K3142" s="38"/>
      <c r="L3142" s="37"/>
      <c r="M3142" s="38"/>
      <c r="N3142" s="38">
        <v>3</v>
      </c>
      <c r="O3142" s="58">
        <f>ROUND(PRODUCT(J3142:N3142),2)</f>
        <v>3</v>
      </c>
    </row>
    <row r="3143" spans="1:17" ht="30" hidden="1" outlineLevel="1">
      <c r="A3143" s="2">
        <v>7</v>
      </c>
      <c r="B3143" s="2">
        <v>12</v>
      </c>
      <c r="C3143" s="2">
        <v>3</v>
      </c>
      <c r="D3143" s="2">
        <f>D3141+1</f>
        <v>11</v>
      </c>
      <c r="E3143" s="66" t="str">
        <f>CONCATENATE(A3143,".",B3143,".",C3143,".",D3143)</f>
        <v>7.12.3.11</v>
      </c>
      <c r="F3143" s="21" t="s">
        <v>4273</v>
      </c>
      <c r="G3143" s="22">
        <v>377</v>
      </c>
      <c r="H3143" s="23" t="s">
        <v>3339</v>
      </c>
      <c r="I3143" s="24" t="s">
        <v>36</v>
      </c>
      <c r="J3143" s="32"/>
      <c r="K3143" s="10"/>
      <c r="L3143" s="32"/>
      <c r="M3143" s="10"/>
      <c r="N3143" s="33"/>
      <c r="O3143" s="11">
        <f>SUM(O3144)</f>
        <v>3</v>
      </c>
      <c r="P3143" s="185"/>
      <c r="Q3143" s="185"/>
    </row>
    <row r="3144" spans="1:17" hidden="1" outlineLevel="1">
      <c r="E3144" s="72"/>
      <c r="F3144" s="21"/>
      <c r="G3144" s="22"/>
      <c r="H3144" s="30"/>
      <c r="I3144" s="62"/>
      <c r="J3144" s="37"/>
      <c r="K3144" s="38"/>
      <c r="L3144" s="37"/>
      <c r="M3144" s="38"/>
      <c r="N3144" s="38">
        <v>3</v>
      </c>
      <c r="O3144" s="58">
        <f>ROUND(PRODUCT(J3144:N3144),2)</f>
        <v>3</v>
      </c>
    </row>
    <row r="3145" spans="1:17" ht="30" hidden="1" outlineLevel="1">
      <c r="E3145" s="72"/>
      <c r="F3145" s="21" t="s">
        <v>4274</v>
      </c>
      <c r="G3145" s="22">
        <v>368</v>
      </c>
      <c r="H3145" s="23" t="s">
        <v>444</v>
      </c>
      <c r="I3145" s="24" t="s">
        <v>36</v>
      </c>
      <c r="J3145" s="32"/>
      <c r="K3145" s="10"/>
      <c r="L3145" s="32"/>
      <c r="M3145" s="10"/>
      <c r="N3145" s="33"/>
      <c r="O3145" s="11">
        <f>SUM(O3146:O3146)</f>
        <v>5</v>
      </c>
    </row>
    <row r="3146" spans="1:17" hidden="1" outlineLevel="1">
      <c r="E3146" s="72"/>
      <c r="F3146" s="21"/>
      <c r="G3146" s="22"/>
      <c r="H3146" s="30"/>
      <c r="I3146" s="62"/>
      <c r="J3146" s="37"/>
      <c r="K3146" s="38"/>
      <c r="L3146" s="37"/>
      <c r="M3146" s="38"/>
      <c r="N3146" s="38">
        <v>5</v>
      </c>
      <c r="O3146" s="58">
        <f>ROUND(PRODUCT(J3146:N3146),2)</f>
        <v>5</v>
      </c>
    </row>
    <row r="3147" spans="1:17" collapsed="1">
      <c r="A3147" s="2">
        <v>7</v>
      </c>
      <c r="B3147" s="2">
        <v>12</v>
      </c>
      <c r="C3147" s="2">
        <v>4</v>
      </c>
      <c r="E3147" s="42" t="str">
        <f>CONCATENATE(A3147,".",B3147,".",C3147)</f>
        <v>7.12.4</v>
      </c>
      <c r="F3147" s="45" t="s">
        <v>4275</v>
      </c>
      <c r="G3147" s="13"/>
      <c r="H3147" s="14" t="s">
        <v>835</v>
      </c>
      <c r="I3147" s="15"/>
      <c r="J3147" s="16"/>
      <c r="K3147" s="17"/>
      <c r="L3147" s="16"/>
      <c r="M3147" s="17"/>
      <c r="N3147" s="18"/>
      <c r="O3147" s="19"/>
      <c r="P3147" s="185"/>
      <c r="Q3147" s="185"/>
    </row>
    <row r="3148" spans="1:17" ht="30" hidden="1" outlineLevel="1">
      <c r="A3148" s="2">
        <v>7</v>
      </c>
      <c r="B3148" s="2">
        <v>12</v>
      </c>
      <c r="C3148" s="2">
        <v>4</v>
      </c>
      <c r="D3148" s="2" t="e">
        <f>#REF!+1</f>
        <v>#REF!</v>
      </c>
      <c r="E3148" s="20" t="e">
        <f>CONCATENATE(A3148,".",B3148,".",C3148,".",D3148)</f>
        <v>#REF!</v>
      </c>
      <c r="F3148" s="21" t="s">
        <v>4276</v>
      </c>
      <c r="G3148" s="22">
        <v>104166</v>
      </c>
      <c r="H3148" s="23" t="s">
        <v>841</v>
      </c>
      <c r="I3148" s="24" t="s">
        <v>144</v>
      </c>
      <c r="J3148" s="32"/>
      <c r="K3148" s="10"/>
      <c r="L3148" s="32"/>
      <c r="M3148" s="10"/>
      <c r="N3148" s="33"/>
      <c r="O3148" s="11">
        <f>SUM(O3149)</f>
        <v>11.46</v>
      </c>
    </row>
    <row r="3149" spans="1:17" hidden="1" outlineLevel="2">
      <c r="E3149" s="59"/>
      <c r="F3149" s="60"/>
      <c r="G3149" s="22"/>
      <c r="H3149" s="23"/>
      <c r="I3149" s="35"/>
      <c r="J3149" s="41"/>
      <c r="K3149" s="10"/>
      <c r="L3149" s="32"/>
      <c r="M3149" s="10"/>
      <c r="N3149" s="33">
        <v>11.46</v>
      </c>
      <c r="O3149" s="31">
        <f>ROUND(PRODUCT(J3149:N3149),2)</f>
        <v>11.46</v>
      </c>
    </row>
    <row r="3150" spans="1:17" ht="30" hidden="1" outlineLevel="1">
      <c r="A3150" s="2">
        <v>7</v>
      </c>
      <c r="B3150" s="2">
        <v>12</v>
      </c>
      <c r="C3150" s="2">
        <v>4</v>
      </c>
      <c r="D3150" s="2" t="e">
        <f>D3148+1</f>
        <v>#REF!</v>
      </c>
      <c r="E3150" s="20" t="e">
        <f>CONCATENATE(A3150,".",B3150,".",C3150,".",D3150)</f>
        <v>#REF!</v>
      </c>
      <c r="F3150" s="21" t="s">
        <v>4277</v>
      </c>
      <c r="G3150" s="22">
        <v>89512</v>
      </c>
      <c r="H3150" s="23" t="s">
        <v>838</v>
      </c>
      <c r="I3150" s="24" t="s">
        <v>144</v>
      </c>
      <c r="J3150" s="32"/>
      <c r="K3150" s="10"/>
      <c r="L3150" s="32"/>
      <c r="M3150" s="10"/>
      <c r="N3150" s="33"/>
      <c r="O3150" s="11">
        <f>SUM(O3151)</f>
        <v>58.95</v>
      </c>
    </row>
    <row r="3151" spans="1:17" hidden="1" outlineLevel="2">
      <c r="E3151" s="59"/>
      <c r="F3151" s="60"/>
      <c r="G3151" s="22"/>
      <c r="H3151" s="23"/>
      <c r="I3151" s="35"/>
      <c r="J3151" s="41"/>
      <c r="K3151" s="10"/>
      <c r="L3151" s="32"/>
      <c r="M3151" s="10"/>
      <c r="N3151" s="33">
        <v>58.95</v>
      </c>
      <c r="O3151" s="31">
        <f>ROUND(PRODUCT(J3151:N3151),2)</f>
        <v>58.95</v>
      </c>
    </row>
    <row r="3152" spans="1:17" ht="45" hidden="1" outlineLevel="1">
      <c r="A3152" s="2">
        <v>7</v>
      </c>
      <c r="B3152" s="2">
        <v>12</v>
      </c>
      <c r="C3152" s="2">
        <v>4</v>
      </c>
      <c r="D3152" s="2" t="e">
        <f>D3150+1</f>
        <v>#REF!</v>
      </c>
      <c r="E3152" s="20" t="e">
        <f>CONCATENATE(A3152,".",B3152,".",C3152,".",D3152)</f>
        <v>#REF!</v>
      </c>
      <c r="F3152" s="21" t="s">
        <v>4278</v>
      </c>
      <c r="G3152" s="22">
        <v>89587</v>
      </c>
      <c r="H3152" s="23" t="s">
        <v>847</v>
      </c>
      <c r="I3152" s="24" t="s">
        <v>36</v>
      </c>
      <c r="J3152" s="32"/>
      <c r="K3152" s="10"/>
      <c r="L3152" s="32"/>
      <c r="M3152" s="10"/>
      <c r="N3152" s="33"/>
      <c r="O3152" s="11">
        <f>SUM(O3153)</f>
        <v>4</v>
      </c>
    </row>
    <row r="3153" spans="1:16" hidden="1" outlineLevel="2">
      <c r="E3153" s="59"/>
      <c r="F3153" s="60"/>
      <c r="G3153" s="22"/>
      <c r="H3153" s="23"/>
      <c r="I3153" s="35"/>
      <c r="J3153" s="41"/>
      <c r="K3153" s="10"/>
      <c r="L3153" s="32"/>
      <c r="M3153" s="10"/>
      <c r="N3153" s="33">
        <v>4</v>
      </c>
      <c r="O3153" s="31">
        <f>ROUND(PRODUCT(J3153:N3153),2)</f>
        <v>4</v>
      </c>
    </row>
    <row r="3154" spans="1:16" ht="30" hidden="1" outlineLevel="1">
      <c r="A3154" s="2">
        <v>7</v>
      </c>
      <c r="B3154" s="2">
        <v>12</v>
      </c>
      <c r="C3154" s="2">
        <v>4</v>
      </c>
      <c r="D3154" s="2" t="e">
        <f>D3152+1</f>
        <v>#REF!</v>
      </c>
      <c r="E3154" s="20" t="e">
        <f>CONCATENATE(A3154,".",B3154,".",C3154,".",D3154)</f>
        <v>#REF!</v>
      </c>
      <c r="F3154" s="21" t="s">
        <v>4279</v>
      </c>
      <c r="G3154" s="22">
        <v>104169</v>
      </c>
      <c r="H3154" s="23" t="s">
        <v>1149</v>
      </c>
      <c r="I3154" s="24" t="s">
        <v>36</v>
      </c>
      <c r="J3154" s="32"/>
      <c r="K3154" s="10"/>
      <c r="L3154" s="32"/>
      <c r="M3154" s="10"/>
      <c r="N3154" s="33"/>
      <c r="O3154" s="11">
        <f>SUM(O3155)</f>
        <v>1</v>
      </c>
    </row>
    <row r="3155" spans="1:16" hidden="1" outlineLevel="2">
      <c r="E3155" s="59"/>
      <c r="F3155" s="60"/>
      <c r="G3155" s="22"/>
      <c r="H3155" s="23"/>
      <c r="I3155" s="35"/>
      <c r="J3155" s="41"/>
      <c r="K3155" s="10"/>
      <c r="L3155" s="32"/>
      <c r="M3155" s="10"/>
      <c r="N3155" s="33">
        <v>1</v>
      </c>
      <c r="O3155" s="31">
        <f>ROUND(PRODUCT(J3155:N3155),2)</f>
        <v>1</v>
      </c>
    </row>
    <row r="3156" spans="1:16" ht="45" hidden="1" outlineLevel="1">
      <c r="A3156" s="2">
        <v>7</v>
      </c>
      <c r="B3156" s="2">
        <v>12</v>
      </c>
      <c r="C3156" s="2">
        <v>4</v>
      </c>
      <c r="D3156" s="2" t="e">
        <f>D3154+1</f>
        <v>#REF!</v>
      </c>
      <c r="E3156" s="20" t="e">
        <f>CONCATENATE(A3156,".",B3156,".",C3156,".",D3156)</f>
        <v>#REF!</v>
      </c>
      <c r="F3156" s="21" t="s">
        <v>4280</v>
      </c>
      <c r="G3156" s="22">
        <v>89690</v>
      </c>
      <c r="H3156" s="23" t="s">
        <v>1401</v>
      </c>
      <c r="I3156" s="24" t="s">
        <v>36</v>
      </c>
      <c r="J3156" s="32"/>
      <c r="K3156" s="10"/>
      <c r="L3156" s="32"/>
      <c r="M3156" s="10"/>
      <c r="N3156" s="33"/>
      <c r="O3156" s="11">
        <f>SUM(O3157)</f>
        <v>3</v>
      </c>
    </row>
    <row r="3157" spans="1:16" hidden="1" outlineLevel="2">
      <c r="E3157" s="59"/>
      <c r="F3157" s="60"/>
      <c r="G3157" s="22"/>
      <c r="H3157" s="23"/>
      <c r="I3157" s="35"/>
      <c r="J3157" s="41"/>
      <c r="K3157" s="10"/>
      <c r="L3157" s="32"/>
      <c r="M3157" s="10"/>
      <c r="N3157" s="33">
        <v>3</v>
      </c>
      <c r="O3157" s="31">
        <f>ROUND(PRODUCT(J3157:N3157),2)</f>
        <v>3</v>
      </c>
    </row>
    <row r="3158" spans="1:16" ht="30" hidden="1" outlineLevel="1">
      <c r="A3158" s="2">
        <v>7</v>
      </c>
      <c r="B3158" s="2">
        <v>12</v>
      </c>
      <c r="C3158" s="2">
        <v>4</v>
      </c>
      <c r="D3158" s="2" t="e">
        <f>D3156+1</f>
        <v>#REF!</v>
      </c>
      <c r="E3158" s="20" t="e">
        <f>CONCATENATE(A3158,".",B3158,".",C3158,".",D3158)</f>
        <v>#REF!</v>
      </c>
      <c r="F3158" s="21" t="s">
        <v>4281</v>
      </c>
      <c r="G3158" s="22">
        <v>104178</v>
      </c>
      <c r="H3158" s="23" t="s">
        <v>844</v>
      </c>
      <c r="I3158" s="24" t="s">
        <v>36</v>
      </c>
      <c r="J3158" s="32"/>
      <c r="K3158" s="10"/>
      <c r="L3158" s="32"/>
      <c r="M3158" s="10"/>
      <c r="N3158" s="33"/>
      <c r="O3158" s="11">
        <f>SUM(O3159)</f>
        <v>1</v>
      </c>
    </row>
    <row r="3159" spans="1:16" hidden="1" outlineLevel="2">
      <c r="E3159" s="59"/>
      <c r="F3159" s="60"/>
      <c r="G3159" s="34"/>
      <c r="H3159" s="30"/>
      <c r="I3159" s="35"/>
      <c r="J3159" s="41"/>
      <c r="K3159" s="10"/>
      <c r="L3159" s="32"/>
      <c r="M3159" s="10"/>
      <c r="N3159" s="33">
        <v>1</v>
      </c>
      <c r="O3159" s="31">
        <f>ROUND(PRODUCT(J3159:N3159),2)</f>
        <v>1</v>
      </c>
    </row>
    <row r="3160" spans="1:16" ht="30" hidden="1" outlineLevel="1">
      <c r="A3160" s="2">
        <v>7</v>
      </c>
      <c r="B3160" s="2">
        <v>12</v>
      </c>
      <c r="C3160" s="2">
        <v>4</v>
      </c>
      <c r="D3160" s="2" t="e">
        <f>D3158+1</f>
        <v>#REF!</v>
      </c>
      <c r="E3160" s="20" t="e">
        <f>CONCATENATE(A3160,".",B3160,".",C3160,".",D3160)</f>
        <v>#REF!</v>
      </c>
      <c r="F3160" s="21" t="s">
        <v>4282</v>
      </c>
      <c r="G3160" s="22">
        <v>1127</v>
      </c>
      <c r="H3160" s="23" t="s">
        <v>856</v>
      </c>
      <c r="I3160" s="24" t="s">
        <v>36</v>
      </c>
      <c r="J3160" s="32"/>
      <c r="K3160" s="10"/>
      <c r="L3160" s="32"/>
      <c r="M3160" s="10"/>
      <c r="N3160" s="33"/>
      <c r="O3160" s="11">
        <f>SUM(O3161)</f>
        <v>8</v>
      </c>
    </row>
    <row r="3161" spans="1:16" hidden="1" outlineLevel="2">
      <c r="E3161" s="59"/>
      <c r="F3161" s="60"/>
      <c r="G3161" s="22"/>
      <c r="H3161" s="23"/>
      <c r="I3161" s="35"/>
      <c r="J3161" s="41"/>
      <c r="K3161" s="10"/>
      <c r="L3161" s="32"/>
      <c r="M3161" s="10"/>
      <c r="N3161" s="33">
        <v>8</v>
      </c>
      <c r="O3161" s="31">
        <f>ROUND(PRODUCT(J3161:N3161),2)</f>
        <v>8</v>
      </c>
    </row>
    <row r="3162" spans="1:16" hidden="1" outlineLevel="1">
      <c r="A3162" s="2">
        <v>7</v>
      </c>
      <c r="B3162" s="2">
        <v>12</v>
      </c>
      <c r="C3162" s="2">
        <v>4</v>
      </c>
      <c r="D3162" s="2" t="e">
        <f>#REF!+1</f>
        <v>#REF!</v>
      </c>
      <c r="E3162" s="20" t="e">
        <f>CONCATENATE(A3162,".",B3162,".",C3162,".",D3162)</f>
        <v>#REF!</v>
      </c>
      <c r="F3162" s="21" t="s">
        <v>4283</v>
      </c>
      <c r="G3162" s="22">
        <v>453</v>
      </c>
      <c r="H3162" s="23" t="s">
        <v>865</v>
      </c>
      <c r="I3162" s="24" t="s">
        <v>36</v>
      </c>
      <c r="J3162" s="32"/>
      <c r="K3162" s="10"/>
      <c r="L3162" s="32"/>
      <c r="M3162" s="10"/>
      <c r="N3162" s="33"/>
      <c r="O3162" s="11">
        <f>SUM(O3163)</f>
        <v>5</v>
      </c>
    </row>
    <row r="3163" spans="1:16" hidden="1" outlineLevel="2">
      <c r="E3163" s="59"/>
      <c r="F3163" s="60"/>
      <c r="G3163" s="22"/>
      <c r="H3163" s="23"/>
      <c r="I3163" s="35"/>
      <c r="J3163" s="41"/>
      <c r="K3163" s="10"/>
      <c r="L3163" s="32"/>
      <c r="M3163" s="10"/>
      <c r="N3163" s="33">
        <v>5</v>
      </c>
      <c r="O3163" s="31">
        <f>ROUND(PRODUCT(J3163:N3163),2)</f>
        <v>5</v>
      </c>
    </row>
    <row r="3164" spans="1:16" ht="30" hidden="1" outlineLevel="1">
      <c r="A3164" s="2">
        <v>7</v>
      </c>
      <c r="B3164" s="2">
        <v>12</v>
      </c>
      <c r="C3164" s="2">
        <v>4</v>
      </c>
      <c r="D3164" s="2" t="e">
        <f>D3162+1</f>
        <v>#REF!</v>
      </c>
      <c r="E3164" s="20" t="e">
        <f>CONCATENATE(A3164,".",B3164,".",C3164,".",D3164)</f>
        <v>#REF!</v>
      </c>
      <c r="F3164" s="21" t="s">
        <v>4284</v>
      </c>
      <c r="G3164" s="22">
        <v>89531</v>
      </c>
      <c r="H3164" s="23" t="s">
        <v>1158</v>
      </c>
      <c r="I3164" s="24" t="s">
        <v>36</v>
      </c>
      <c r="J3164" s="32"/>
      <c r="K3164" s="10"/>
      <c r="L3164" s="32"/>
      <c r="M3164" s="10"/>
      <c r="N3164" s="33"/>
      <c r="O3164" s="11">
        <f>SUM(O3165)</f>
        <v>8</v>
      </c>
    </row>
    <row r="3165" spans="1:16" hidden="1" outlineLevel="2">
      <c r="E3165" s="59"/>
      <c r="F3165" s="60"/>
      <c r="G3165" s="22"/>
      <c r="H3165" s="23"/>
      <c r="I3165" s="35"/>
      <c r="J3165" s="41"/>
      <c r="K3165" s="10"/>
      <c r="L3165" s="32"/>
      <c r="M3165" s="10"/>
      <c r="N3165" s="33">
        <v>8</v>
      </c>
      <c r="O3165" s="31">
        <f>ROUND(PRODUCT(J3165:N3165),2)</f>
        <v>8</v>
      </c>
    </row>
    <row r="3166" spans="1:16" ht="30" hidden="1" outlineLevel="1">
      <c r="A3166" s="2">
        <v>7</v>
      </c>
      <c r="B3166" s="2">
        <v>12</v>
      </c>
      <c r="C3166" s="2">
        <v>4</v>
      </c>
      <c r="D3166" s="2" t="e">
        <f>D3164+1</f>
        <v>#REF!</v>
      </c>
      <c r="E3166" s="20" t="e">
        <f>CONCATENATE(A3166,".",B3166,".",C3166,".",D3166)</f>
        <v>#REF!</v>
      </c>
      <c r="F3166" s="21" t="s">
        <v>4285</v>
      </c>
      <c r="G3166" s="22">
        <v>104168</v>
      </c>
      <c r="H3166" s="23" t="s">
        <v>1155</v>
      </c>
      <c r="I3166" s="24" t="s">
        <v>36</v>
      </c>
      <c r="J3166" s="32"/>
      <c r="K3166" s="10"/>
      <c r="L3166" s="32"/>
      <c r="M3166" s="10"/>
      <c r="N3166" s="33"/>
      <c r="O3166" s="11">
        <f>SUM(O3167)</f>
        <v>1</v>
      </c>
    </row>
    <row r="3167" spans="1:16" hidden="1" outlineLevel="2">
      <c r="E3167" s="59"/>
      <c r="F3167" s="60"/>
      <c r="G3167" s="22"/>
      <c r="H3167" s="23"/>
      <c r="I3167" s="35"/>
      <c r="J3167" s="41"/>
      <c r="K3167" s="10"/>
      <c r="L3167" s="32"/>
      <c r="M3167" s="10"/>
      <c r="N3167" s="33">
        <v>1</v>
      </c>
      <c r="O3167" s="31">
        <f>ROUND(PRODUCT(J3167:N3167),2)</f>
        <v>1</v>
      </c>
    </row>
    <row r="3168" spans="1:16" ht="45" hidden="1" outlineLevel="1">
      <c r="A3168" s="2">
        <v>7</v>
      </c>
      <c r="B3168" s="2">
        <v>12</v>
      </c>
      <c r="C3168" s="2">
        <v>4</v>
      </c>
      <c r="D3168" s="2" t="e">
        <f>#REF!+1</f>
        <v>#REF!</v>
      </c>
      <c r="E3168" s="20" t="e">
        <f>CONCATENATE(A3168,".",B3168,".",C3168,".",D3168)</f>
        <v>#REF!</v>
      </c>
      <c r="F3168" s="21" t="s">
        <v>4286</v>
      </c>
      <c r="G3168" s="22">
        <v>89850</v>
      </c>
      <c r="H3168" s="23" t="s">
        <v>815</v>
      </c>
      <c r="I3168" s="24" t="s">
        <v>36</v>
      </c>
      <c r="J3168" s="32"/>
      <c r="K3168" s="10"/>
      <c r="L3168" s="32"/>
      <c r="M3168" s="10"/>
      <c r="N3168" s="33"/>
      <c r="O3168" s="11">
        <f>SUM(O3169)</f>
        <v>4</v>
      </c>
      <c r="P3168" s="185"/>
    </row>
    <row r="3169" spans="1:16" hidden="1" outlineLevel="2">
      <c r="E3169" s="59"/>
      <c r="F3169" s="60"/>
      <c r="G3169" s="34"/>
      <c r="H3169" s="30"/>
      <c r="I3169" s="35"/>
      <c r="J3169" s="41"/>
      <c r="K3169" s="10"/>
      <c r="L3169" s="32"/>
      <c r="M3169" s="10"/>
      <c r="N3169" s="33">
        <v>4</v>
      </c>
      <c r="O3169" s="31">
        <f>ROUND(PRODUCT(J3169:N3169),2)</f>
        <v>4</v>
      </c>
    </row>
    <row r="3170" spans="1:16" ht="30" hidden="1" outlineLevel="1">
      <c r="A3170" s="2">
        <v>7</v>
      </c>
      <c r="B3170" s="2">
        <v>12</v>
      </c>
      <c r="C3170" s="2">
        <v>4</v>
      </c>
      <c r="D3170" s="2" t="e">
        <f>#REF!+1</f>
        <v>#REF!</v>
      </c>
      <c r="E3170" s="20" t="e">
        <f>CONCATENATE(A3170,".",B3170,".",C3170,".",D3170)</f>
        <v>#REF!</v>
      </c>
      <c r="F3170" s="21" t="s">
        <v>4287</v>
      </c>
      <c r="G3170" s="22">
        <v>104174</v>
      </c>
      <c r="H3170" s="23" t="s">
        <v>1410</v>
      </c>
      <c r="I3170" s="24" t="s">
        <v>36</v>
      </c>
      <c r="J3170" s="32"/>
      <c r="K3170" s="10"/>
      <c r="L3170" s="32"/>
      <c r="M3170" s="10"/>
      <c r="N3170" s="33"/>
      <c r="O3170" s="11">
        <f>SUM(O3171)</f>
        <v>1</v>
      </c>
      <c r="P3170" s="185"/>
    </row>
    <row r="3171" spans="1:16" hidden="1" outlineLevel="2">
      <c r="E3171" s="59"/>
      <c r="F3171" s="60"/>
      <c r="G3171" s="34"/>
      <c r="H3171" s="30"/>
      <c r="I3171" s="35"/>
      <c r="J3171" s="41"/>
      <c r="K3171" s="10"/>
      <c r="L3171" s="32"/>
      <c r="M3171" s="10"/>
      <c r="N3171" s="33">
        <v>1</v>
      </c>
      <c r="O3171" s="31">
        <f>ROUND(PRODUCT(J3171:N3171),2)</f>
        <v>1</v>
      </c>
    </row>
    <row r="3172" spans="1:16" ht="45" hidden="1" outlineLevel="1">
      <c r="A3172" s="2">
        <v>7</v>
      </c>
      <c r="B3172" s="2">
        <v>12</v>
      </c>
      <c r="C3172" s="2">
        <v>4</v>
      </c>
      <c r="D3172" s="2" t="e">
        <f>D3170+1</f>
        <v>#REF!</v>
      </c>
      <c r="E3172" s="20" t="e">
        <f>CONCATENATE(A3172,".",B3172,".",C3172,".",D3172)</f>
        <v>#REF!</v>
      </c>
      <c r="F3172" s="21" t="s">
        <v>4288</v>
      </c>
      <c r="G3172" s="22">
        <v>89854</v>
      </c>
      <c r="H3172" s="23" t="s">
        <v>1413</v>
      </c>
      <c r="I3172" s="24" t="s">
        <v>36</v>
      </c>
      <c r="J3172" s="32"/>
      <c r="K3172" s="10"/>
      <c r="L3172" s="32"/>
      <c r="M3172" s="10"/>
      <c r="N3172" s="33"/>
      <c r="O3172" s="11">
        <f>SUM(O3173)</f>
        <v>1</v>
      </c>
      <c r="P3172" s="185"/>
    </row>
    <row r="3173" spans="1:16" hidden="1" outlineLevel="2">
      <c r="E3173" s="59"/>
      <c r="F3173" s="60"/>
      <c r="G3173" s="34"/>
      <c r="H3173" s="30"/>
      <c r="I3173" s="35"/>
      <c r="J3173" s="41"/>
      <c r="K3173" s="10"/>
      <c r="L3173" s="32"/>
      <c r="M3173" s="10"/>
      <c r="N3173" s="33">
        <v>1</v>
      </c>
      <c r="O3173" s="31">
        <f>ROUND(PRODUCT(J3173:N3173),2)</f>
        <v>1</v>
      </c>
    </row>
    <row r="3174" spans="1:16" collapsed="1">
      <c r="A3174" s="2">
        <v>7</v>
      </c>
      <c r="B3174" s="2">
        <v>13</v>
      </c>
      <c r="E3174" s="42" t="str">
        <f>CONCATENATE(A3174,".",B3174)</f>
        <v>7.13</v>
      </c>
      <c r="F3174" s="45" t="s">
        <v>4289</v>
      </c>
      <c r="G3174" s="13"/>
      <c r="H3174" s="14" t="s">
        <v>2022</v>
      </c>
      <c r="I3174" s="15"/>
      <c r="J3174" s="16"/>
      <c r="K3174" s="17"/>
      <c r="L3174" s="16"/>
      <c r="M3174" s="17"/>
      <c r="N3174" s="18"/>
      <c r="O3174" s="19"/>
    </row>
    <row r="3175" spans="1:16" ht="30" hidden="1" outlineLevel="1">
      <c r="A3175" s="2">
        <v>7</v>
      </c>
      <c r="B3175" s="2">
        <v>13</v>
      </c>
      <c r="C3175" s="2">
        <v>1</v>
      </c>
      <c r="E3175" s="20" t="str">
        <f>CONCATENATE(A3175,".",B3175,".",C3175)</f>
        <v>7.13.1</v>
      </c>
      <c r="F3175" s="21" t="s">
        <v>4290</v>
      </c>
      <c r="G3175" s="22">
        <v>97599</v>
      </c>
      <c r="H3175" s="23" t="s">
        <v>2031</v>
      </c>
      <c r="I3175" s="24" t="s">
        <v>36</v>
      </c>
      <c r="J3175" s="32"/>
      <c r="K3175" s="10"/>
      <c r="L3175" s="32"/>
      <c r="M3175" s="10"/>
      <c r="N3175" s="33"/>
      <c r="O3175" s="11">
        <f>SUM(O3176)</f>
        <v>11</v>
      </c>
    </row>
    <row r="3176" spans="1:16" hidden="1" outlineLevel="2">
      <c r="E3176" s="20"/>
      <c r="F3176" s="21"/>
      <c r="G3176" s="22"/>
      <c r="H3176" s="23"/>
      <c r="I3176" s="24"/>
      <c r="J3176" s="32"/>
      <c r="K3176" s="64"/>
      <c r="L3176" s="32"/>
      <c r="M3176" s="10"/>
      <c r="N3176" s="33">
        <v>11</v>
      </c>
      <c r="O3176" s="58">
        <f>ROUND(PRODUCT(J3176:N3176),2)</f>
        <v>11</v>
      </c>
    </row>
    <row r="3177" spans="1:16" ht="30" hidden="1" outlineLevel="1">
      <c r="A3177" s="2">
        <v>7</v>
      </c>
      <c r="B3177" s="2">
        <v>13</v>
      </c>
      <c r="C3177" s="2">
        <f>C3175+1</f>
        <v>2</v>
      </c>
      <c r="E3177" s="20" t="str">
        <f>CONCATENATE(A3177,".",B3177,".",C3177)</f>
        <v>7.13.2</v>
      </c>
      <c r="F3177" s="21" t="s">
        <v>4291</v>
      </c>
      <c r="G3177" s="22" t="s">
        <v>2027</v>
      </c>
      <c r="H3177" s="23" t="s">
        <v>2028</v>
      </c>
      <c r="I3177" s="24" t="s">
        <v>36</v>
      </c>
      <c r="J3177" s="32"/>
      <c r="K3177" s="10"/>
      <c r="L3177" s="32"/>
      <c r="M3177" s="10"/>
      <c r="N3177" s="33"/>
      <c r="O3177" s="11">
        <f>SUM(O3178)</f>
        <v>2</v>
      </c>
    </row>
    <row r="3178" spans="1:16" hidden="1" outlineLevel="2">
      <c r="E3178" s="20"/>
      <c r="F3178" s="21"/>
      <c r="G3178" s="22"/>
      <c r="H3178" s="23"/>
      <c r="I3178" s="24"/>
      <c r="J3178" s="32"/>
      <c r="K3178" s="64"/>
      <c r="L3178" s="32"/>
      <c r="M3178" s="10"/>
      <c r="N3178" s="33">
        <v>2</v>
      </c>
      <c r="O3178" s="58">
        <f>ROUND(PRODUCT(J3178:N3178),2)</f>
        <v>2</v>
      </c>
    </row>
    <row r="3179" spans="1:16" ht="30" hidden="1" outlineLevel="1">
      <c r="A3179" s="2">
        <v>7</v>
      </c>
      <c r="B3179" s="2">
        <v>13</v>
      </c>
      <c r="C3179" s="2">
        <f>C3177+1</f>
        <v>3</v>
      </c>
      <c r="E3179" s="20" t="str">
        <f>CONCATENATE(A3179,".",B3179,".",C3179)</f>
        <v>7.13.3</v>
      </c>
      <c r="F3179" s="21" t="s">
        <v>4292</v>
      </c>
      <c r="G3179" s="22">
        <v>1131</v>
      </c>
      <c r="H3179" s="23" t="s">
        <v>2034</v>
      </c>
      <c r="I3179" s="24" t="s">
        <v>36</v>
      </c>
      <c r="J3179" s="32"/>
      <c r="K3179" s="10"/>
      <c r="L3179" s="32"/>
      <c r="M3179" s="10"/>
      <c r="N3179" s="33"/>
      <c r="O3179" s="11">
        <f>SUM(O3180)</f>
        <v>10</v>
      </c>
    </row>
    <row r="3180" spans="1:16" hidden="1" outlineLevel="2">
      <c r="E3180" s="20"/>
      <c r="F3180" s="21"/>
      <c r="G3180" s="22"/>
      <c r="H3180" s="23"/>
      <c r="I3180" s="24"/>
      <c r="J3180" s="32"/>
      <c r="K3180" s="64"/>
      <c r="L3180" s="32"/>
      <c r="M3180" s="10"/>
      <c r="N3180" s="33">
        <f>2+6+1+1</f>
        <v>10</v>
      </c>
      <c r="O3180" s="58">
        <f>ROUND(PRODUCT(J3180:N3180),2)</f>
        <v>10</v>
      </c>
    </row>
    <row r="3181" spans="1:16" ht="45" hidden="1" outlineLevel="1">
      <c r="A3181" s="2">
        <v>7</v>
      </c>
      <c r="B3181" s="2">
        <v>13</v>
      </c>
      <c r="C3181" s="2">
        <f>C3179+1</f>
        <v>4</v>
      </c>
      <c r="E3181" s="20" t="str">
        <f>CONCATENATE(A3181,".",B3181,".",C3181)</f>
        <v>7.13.4</v>
      </c>
      <c r="F3181" s="21" t="s">
        <v>4293</v>
      </c>
      <c r="G3181" s="22">
        <v>1133</v>
      </c>
      <c r="H3181" s="23" t="s">
        <v>2037</v>
      </c>
      <c r="I3181" s="24" t="s">
        <v>36</v>
      </c>
      <c r="J3181" s="32"/>
      <c r="K3181" s="10"/>
      <c r="L3181" s="32"/>
      <c r="M3181" s="10"/>
      <c r="N3181" s="33"/>
      <c r="O3181" s="11">
        <f>SUM(O3182)</f>
        <v>1</v>
      </c>
    </row>
    <row r="3182" spans="1:16" hidden="1" outlineLevel="2">
      <c r="E3182" s="20"/>
      <c r="F3182" s="21"/>
      <c r="G3182" s="22"/>
      <c r="H3182" s="30"/>
      <c r="I3182" s="62"/>
      <c r="J3182" s="32"/>
      <c r="K3182" s="64"/>
      <c r="L3182" s="32"/>
      <c r="M3182" s="10"/>
      <c r="N3182" s="33">
        <v>1</v>
      </c>
      <c r="O3182" s="58">
        <f>ROUND(PRODUCT(J3182:N3182),2)</f>
        <v>1</v>
      </c>
    </row>
    <row r="3183" spans="1:16" hidden="1" outlineLevel="1">
      <c r="A3183" s="2">
        <v>7</v>
      </c>
      <c r="B3183" s="2">
        <v>13</v>
      </c>
      <c r="C3183" s="2">
        <f>C3181+1</f>
        <v>5</v>
      </c>
      <c r="E3183" s="20" t="str">
        <f>CONCATENATE(A3183,".",B3183,".",C3183)</f>
        <v>7.13.5</v>
      </c>
      <c r="F3183" s="21" t="s">
        <v>4294</v>
      </c>
      <c r="G3183" s="22">
        <v>1137</v>
      </c>
      <c r="H3183" s="23" t="s">
        <v>2040</v>
      </c>
      <c r="I3183" s="24" t="s">
        <v>144</v>
      </c>
      <c r="J3183" s="32"/>
      <c r="K3183" s="10"/>
      <c r="L3183" s="32"/>
      <c r="M3183" s="10"/>
      <c r="N3183" s="33"/>
      <c r="O3183" s="11">
        <f>SUM(O3184)</f>
        <v>54.85</v>
      </c>
    </row>
    <row r="3184" spans="1:16" hidden="1" outlineLevel="2">
      <c r="E3184" s="20"/>
      <c r="F3184" s="21"/>
      <c r="G3184" s="22"/>
      <c r="H3184" s="23"/>
      <c r="I3184" s="24"/>
      <c r="J3184" s="32"/>
      <c r="K3184" s="64"/>
      <c r="L3184" s="32"/>
      <c r="M3184" s="10"/>
      <c r="N3184" s="33">
        <v>54.85</v>
      </c>
      <c r="O3184" s="58">
        <f>ROUND(PRODUCT(J3184:N3184),2)</f>
        <v>54.85</v>
      </c>
    </row>
    <row r="3185" spans="1:15" ht="30" hidden="1" outlineLevel="1">
      <c r="A3185" s="2">
        <v>7</v>
      </c>
      <c r="B3185" s="2">
        <v>13</v>
      </c>
      <c r="C3185" s="2">
        <f>C3183+1</f>
        <v>6</v>
      </c>
      <c r="E3185" s="20" t="str">
        <f>CONCATENATE(A3185,".",B3185,".",C3185)</f>
        <v>7.13.6</v>
      </c>
      <c r="F3185" s="21" t="s">
        <v>4295</v>
      </c>
      <c r="G3185" s="22">
        <v>95795</v>
      </c>
      <c r="H3185" s="23" t="s">
        <v>2043</v>
      </c>
      <c r="I3185" s="24" t="s">
        <v>36</v>
      </c>
      <c r="J3185" s="32"/>
      <c r="K3185" s="10"/>
      <c r="L3185" s="32"/>
      <c r="M3185" s="10"/>
      <c r="N3185" s="33"/>
      <c r="O3185" s="11">
        <f>SUM(O3186)</f>
        <v>3</v>
      </c>
    </row>
    <row r="3186" spans="1:15" hidden="1" outlineLevel="2">
      <c r="E3186" s="20"/>
      <c r="F3186" s="21"/>
      <c r="G3186" s="22"/>
      <c r="H3186" s="23"/>
      <c r="I3186" s="24"/>
      <c r="J3186" s="32"/>
      <c r="K3186" s="64"/>
      <c r="L3186" s="32"/>
      <c r="M3186" s="10"/>
      <c r="N3186" s="33">
        <v>3</v>
      </c>
      <c r="O3186" s="58">
        <f>ROUND(PRODUCT(J3186:N3186),2)</f>
        <v>3</v>
      </c>
    </row>
    <row r="3187" spans="1:15" collapsed="1">
      <c r="A3187" s="2">
        <v>7</v>
      </c>
      <c r="B3187" s="2">
        <v>14</v>
      </c>
      <c r="E3187" s="42" t="str">
        <f>CONCATENATE(A3187,".",B3187)</f>
        <v>7.14</v>
      </c>
      <c r="F3187" s="108" t="s">
        <v>4296</v>
      </c>
      <c r="G3187" s="98"/>
      <c r="H3187" s="99" t="s">
        <v>3371</v>
      </c>
      <c r="I3187" s="15"/>
      <c r="J3187" s="16"/>
      <c r="K3187" s="17"/>
      <c r="L3187" s="16"/>
      <c r="M3187" s="17"/>
      <c r="N3187" s="18"/>
      <c r="O3187" s="19"/>
    </row>
    <row r="3188" spans="1:15" ht="45" hidden="1" outlineLevel="1">
      <c r="A3188" s="2">
        <v>7</v>
      </c>
      <c r="B3188" s="2">
        <v>14</v>
      </c>
      <c r="C3188" s="2">
        <v>1</v>
      </c>
      <c r="E3188" s="20" t="str">
        <f>CONCATENATE(A3188,".",B3188,".",C3188)</f>
        <v>7.14.1</v>
      </c>
      <c r="F3188" s="21" t="s">
        <v>4297</v>
      </c>
      <c r="G3188" s="65">
        <v>101795</v>
      </c>
      <c r="H3188" s="23" t="s">
        <v>2581</v>
      </c>
      <c r="I3188" s="24" t="s">
        <v>36</v>
      </c>
      <c r="J3188" s="32"/>
      <c r="K3188" s="10"/>
      <c r="L3188" s="32"/>
      <c r="M3188" s="10"/>
      <c r="N3188" s="33"/>
      <c r="O3188" s="11">
        <f>SUM(O3189)</f>
        <v>13</v>
      </c>
    </row>
    <row r="3189" spans="1:15" hidden="1" outlineLevel="2">
      <c r="E3189" s="59"/>
      <c r="F3189" s="60"/>
      <c r="G3189" s="34"/>
      <c r="H3189" s="30"/>
      <c r="I3189" s="35"/>
      <c r="J3189" s="41"/>
      <c r="K3189" s="10"/>
      <c r="L3189" s="32"/>
      <c r="M3189" s="10"/>
      <c r="N3189" s="33">
        <v>13</v>
      </c>
      <c r="O3189" s="31">
        <f>ROUND(PRODUCT(J3189:N3189),2)</f>
        <v>13</v>
      </c>
    </row>
    <row r="3190" spans="1:15" ht="30" hidden="1" outlineLevel="1">
      <c r="A3190" s="2">
        <v>7</v>
      </c>
      <c r="B3190" s="2">
        <v>14</v>
      </c>
      <c r="C3190" s="2">
        <f>C3188+1</f>
        <v>2</v>
      </c>
      <c r="E3190" s="20" t="str">
        <f>CONCATENATE(A3190,".",B3190,".",C3190)</f>
        <v>7.14.2</v>
      </c>
      <c r="F3190" s="21" t="s">
        <v>4298</v>
      </c>
      <c r="G3190" s="65">
        <v>101798</v>
      </c>
      <c r="H3190" s="23" t="s">
        <v>2344</v>
      </c>
      <c r="I3190" s="24" t="s">
        <v>36</v>
      </c>
      <c r="J3190" s="32"/>
      <c r="K3190" s="10"/>
      <c r="L3190" s="32"/>
      <c r="M3190" s="10"/>
      <c r="N3190" s="33"/>
      <c r="O3190" s="11">
        <f>SUM(O3191)</f>
        <v>13</v>
      </c>
    </row>
    <row r="3191" spans="1:15" hidden="1" outlineLevel="2">
      <c r="E3191" s="59"/>
      <c r="F3191" s="60"/>
      <c r="G3191" s="34"/>
      <c r="H3191" s="30"/>
      <c r="I3191" s="35"/>
      <c r="J3191" s="41"/>
      <c r="K3191" s="10"/>
      <c r="L3191" s="32"/>
      <c r="M3191" s="10"/>
      <c r="N3191" s="33">
        <v>13</v>
      </c>
      <c r="O3191" s="31">
        <f>ROUND(PRODUCT(J3191:N3191),2)</f>
        <v>13</v>
      </c>
    </row>
    <row r="3192" spans="1:15" ht="30" hidden="1" outlineLevel="1">
      <c r="A3192" s="2">
        <v>7</v>
      </c>
      <c r="B3192" s="2">
        <v>14</v>
      </c>
      <c r="C3192" s="2">
        <f>C3190+1</f>
        <v>3</v>
      </c>
      <c r="E3192" s="20" t="str">
        <f>CONCATENATE(A3192,".",B3192,".",C3192)</f>
        <v>7.14.3</v>
      </c>
      <c r="F3192" s="21" t="s">
        <v>4299</v>
      </c>
      <c r="G3192" s="65">
        <v>101799</v>
      </c>
      <c r="H3192" s="23" t="s">
        <v>2350</v>
      </c>
      <c r="I3192" s="24" t="s">
        <v>36</v>
      </c>
      <c r="J3192" s="32"/>
      <c r="K3192" s="10"/>
      <c r="L3192" s="32"/>
      <c r="M3192" s="10"/>
      <c r="N3192" s="33"/>
      <c r="O3192" s="11">
        <f>SUM(O3193)</f>
        <v>3</v>
      </c>
    </row>
    <row r="3193" spans="1:15" hidden="1" outlineLevel="2">
      <c r="E3193" s="59"/>
      <c r="F3193" s="60"/>
      <c r="G3193" s="34"/>
      <c r="H3193" s="30"/>
      <c r="I3193" s="35"/>
      <c r="J3193" s="41"/>
      <c r="K3193" s="10"/>
      <c r="L3193" s="32"/>
      <c r="M3193" s="10"/>
      <c r="N3193" s="33">
        <v>3</v>
      </c>
      <c r="O3193" s="31">
        <f>ROUND(PRODUCT(J3193:N3193),2)</f>
        <v>3</v>
      </c>
    </row>
    <row r="3194" spans="1:15" ht="30" hidden="1" outlineLevel="1">
      <c r="A3194" s="2">
        <v>7</v>
      </c>
      <c r="B3194" s="2">
        <v>14</v>
      </c>
      <c r="C3194" s="2">
        <f>C3192+1</f>
        <v>4</v>
      </c>
      <c r="E3194" s="20" t="str">
        <f>CONCATENATE(A3194,".",B3194,".",C3194)</f>
        <v>7.14.4</v>
      </c>
      <c r="F3194" s="21" t="s">
        <v>4300</v>
      </c>
      <c r="G3194" s="65">
        <v>93358</v>
      </c>
      <c r="H3194" s="23" t="s">
        <v>4301</v>
      </c>
      <c r="I3194" s="24" t="s">
        <v>126</v>
      </c>
      <c r="J3194" s="32"/>
      <c r="K3194" s="10"/>
      <c r="L3194" s="32"/>
      <c r="M3194" s="10"/>
      <c r="N3194" s="33"/>
      <c r="O3194" s="11">
        <f>SUM(O3195)</f>
        <v>350</v>
      </c>
    </row>
    <row r="3195" spans="1:15" hidden="1" outlineLevel="2">
      <c r="E3195" s="59"/>
      <c r="F3195" s="60"/>
      <c r="G3195" s="34"/>
      <c r="H3195" s="30"/>
      <c r="I3195" s="35"/>
      <c r="J3195" s="41"/>
      <c r="K3195" s="10"/>
      <c r="L3195" s="32"/>
      <c r="M3195" s="10"/>
      <c r="N3195" s="33">
        <v>350</v>
      </c>
      <c r="O3195" s="31">
        <f>ROUND(PRODUCT(J3195:N3195),2)</f>
        <v>350</v>
      </c>
    </row>
    <row r="3196" spans="1:15" ht="45" hidden="1" outlineLevel="1">
      <c r="A3196" s="2">
        <v>7</v>
      </c>
      <c r="B3196" s="2">
        <v>14</v>
      </c>
      <c r="C3196" s="2">
        <f>C3194+1</f>
        <v>5</v>
      </c>
      <c r="E3196" s="20" t="str">
        <f>CONCATENATE(A3196,".",B3196,".",C3196)</f>
        <v>7.14.5</v>
      </c>
      <c r="F3196" s="21" t="s">
        <v>4302</v>
      </c>
      <c r="G3196" s="65">
        <v>94304</v>
      </c>
      <c r="H3196" s="23" t="s">
        <v>4303</v>
      </c>
      <c r="I3196" s="24" t="s">
        <v>126</v>
      </c>
      <c r="J3196" s="32"/>
      <c r="K3196" s="10"/>
      <c r="L3196" s="32"/>
      <c r="M3196" s="10"/>
      <c r="N3196" s="33"/>
      <c r="O3196" s="11">
        <f>SUM(O3197)</f>
        <v>350</v>
      </c>
    </row>
    <row r="3197" spans="1:15" hidden="1" outlineLevel="2">
      <c r="E3197" s="59"/>
      <c r="F3197" s="60"/>
      <c r="G3197" s="34"/>
      <c r="H3197" s="30"/>
      <c r="I3197" s="35"/>
      <c r="J3197" s="41"/>
      <c r="K3197" s="10"/>
      <c r="L3197" s="32"/>
      <c r="M3197" s="10"/>
      <c r="N3197" s="33">
        <v>350</v>
      </c>
      <c r="O3197" s="31">
        <f>ROUND(PRODUCT(J3197:N3197),2)</f>
        <v>350</v>
      </c>
    </row>
    <row r="3198" spans="1:15" ht="30" hidden="1" outlineLevel="1">
      <c r="A3198" s="2">
        <v>7</v>
      </c>
      <c r="B3198" s="2">
        <v>14</v>
      </c>
      <c r="C3198" s="2">
        <f>C3196+1</f>
        <v>6</v>
      </c>
      <c r="E3198" s="20" t="str">
        <f>CONCATENATE(A3198,".",B3198,".",C3198)</f>
        <v>7.14.6</v>
      </c>
      <c r="F3198" s="21" t="s">
        <v>4304</v>
      </c>
      <c r="G3198" s="65">
        <v>97670</v>
      </c>
      <c r="H3198" s="23" t="s">
        <v>2420</v>
      </c>
      <c r="I3198" s="24" t="s">
        <v>144</v>
      </c>
      <c r="J3198" s="32"/>
      <c r="K3198" s="10"/>
      <c r="L3198" s="32"/>
      <c r="M3198" s="10"/>
      <c r="N3198" s="33"/>
      <c r="O3198" s="11">
        <f>SUM(O3199)</f>
        <v>1000</v>
      </c>
    </row>
    <row r="3199" spans="1:15" hidden="1" outlineLevel="2">
      <c r="E3199" s="59"/>
      <c r="F3199" s="60"/>
      <c r="G3199" s="34"/>
      <c r="H3199" s="30"/>
      <c r="I3199" s="35"/>
      <c r="J3199" s="41"/>
      <c r="K3199" s="10"/>
      <c r="L3199" s="32"/>
      <c r="M3199" s="10"/>
      <c r="N3199" s="33">
        <v>1000</v>
      </c>
      <c r="O3199" s="31">
        <f>ROUND(PRODUCT(J3199:N3199),2)</f>
        <v>1000</v>
      </c>
    </row>
    <row r="3200" spans="1:15" ht="30" hidden="1" outlineLevel="1">
      <c r="A3200" s="2">
        <v>7</v>
      </c>
      <c r="B3200" s="2">
        <v>14</v>
      </c>
      <c r="C3200" s="2">
        <f>C3198+1</f>
        <v>7</v>
      </c>
      <c r="E3200" s="20" t="str">
        <f>CONCATENATE(A3200,".",B3200,".",C3200)</f>
        <v>7.14.7</v>
      </c>
      <c r="F3200" s="21" t="s">
        <v>4305</v>
      </c>
      <c r="G3200" s="65">
        <v>98279</v>
      </c>
      <c r="H3200" s="23" t="s">
        <v>4306</v>
      </c>
      <c r="I3200" s="24" t="s">
        <v>144</v>
      </c>
      <c r="J3200" s="32"/>
      <c r="K3200" s="10"/>
      <c r="L3200" s="32"/>
      <c r="M3200" s="10"/>
      <c r="N3200" s="33"/>
      <c r="O3200" s="11">
        <f>SUM(O3201:O3202)</f>
        <v>200</v>
      </c>
    </row>
    <row r="3201" spans="1:15" hidden="1" outlineLevel="2">
      <c r="E3201" s="59"/>
      <c r="F3201" s="60"/>
      <c r="G3201" s="34"/>
      <c r="H3201" s="30"/>
      <c r="I3201" s="35"/>
      <c r="J3201" s="41"/>
      <c r="K3201" s="10"/>
      <c r="L3201" s="32"/>
      <c r="M3201" s="10"/>
      <c r="N3201" s="33">
        <v>30</v>
      </c>
      <c r="O3201" s="31">
        <f>ROUND(PRODUCT(J3201:N3201),2)</f>
        <v>30</v>
      </c>
    </row>
    <row r="3202" spans="1:15" hidden="1" outlineLevel="2">
      <c r="E3202" s="59"/>
      <c r="F3202" s="60"/>
      <c r="G3202" s="34"/>
      <c r="H3202" s="30"/>
      <c r="I3202" s="35"/>
      <c r="J3202" s="41"/>
      <c r="K3202" s="10"/>
      <c r="L3202" s="32"/>
      <c r="M3202" s="10"/>
      <c r="N3202" s="33">
        <v>170</v>
      </c>
      <c r="O3202" s="31">
        <f>ROUND(PRODUCT(J3202:N3202),2)</f>
        <v>170</v>
      </c>
    </row>
    <row r="3203" spans="1:15" ht="30" hidden="1" outlineLevel="1">
      <c r="A3203" s="2">
        <v>7</v>
      </c>
      <c r="B3203" s="2">
        <v>14</v>
      </c>
      <c r="C3203" s="2">
        <f>C3200+1</f>
        <v>8</v>
      </c>
      <c r="E3203" s="20" t="str">
        <f>CONCATENATE(A3203,".",B3203,".",C3203)</f>
        <v>7.14.8</v>
      </c>
      <c r="F3203" s="21" t="s">
        <v>4307</v>
      </c>
      <c r="G3203" s="65">
        <v>98401</v>
      </c>
      <c r="H3203" s="23" t="s">
        <v>4308</v>
      </c>
      <c r="I3203" s="24" t="s">
        <v>144</v>
      </c>
      <c r="J3203" s="32"/>
      <c r="K3203" s="10"/>
      <c r="L3203" s="32"/>
      <c r="M3203" s="10"/>
      <c r="N3203" s="33"/>
      <c r="O3203" s="11">
        <f>SUM(O3204)</f>
        <v>510</v>
      </c>
    </row>
    <row r="3204" spans="1:15" hidden="1" outlineLevel="2">
      <c r="E3204" s="59"/>
      <c r="F3204" s="60"/>
      <c r="G3204" s="34"/>
      <c r="H3204" s="30"/>
      <c r="I3204" s="35"/>
      <c r="J3204" s="41"/>
      <c r="K3204" s="10"/>
      <c r="L3204" s="32"/>
      <c r="M3204" s="10"/>
      <c r="N3204" s="33">
        <v>510</v>
      </c>
      <c r="O3204" s="31">
        <f>ROUND(PRODUCT(J3204:N3204),2)</f>
        <v>510</v>
      </c>
    </row>
    <row r="3205" spans="1:15" ht="30" hidden="1" outlineLevel="1">
      <c r="A3205" s="2">
        <v>7</v>
      </c>
      <c r="B3205" s="2">
        <v>14</v>
      </c>
      <c r="C3205" s="2">
        <f>C3203+1</f>
        <v>9</v>
      </c>
      <c r="E3205" s="20" t="str">
        <f>CONCATENATE(A3205,".",B3205,".",C3205)</f>
        <v>7.14.9</v>
      </c>
      <c r="F3205" s="21" t="s">
        <v>4309</v>
      </c>
      <c r="G3205" s="22" t="s">
        <v>4310</v>
      </c>
      <c r="H3205" s="23" t="s">
        <v>4311</v>
      </c>
      <c r="I3205" s="24" t="s">
        <v>144</v>
      </c>
      <c r="J3205" s="32"/>
      <c r="K3205" s="10"/>
      <c r="L3205" s="32"/>
      <c r="M3205" s="10"/>
      <c r="N3205" s="33"/>
      <c r="O3205" s="11">
        <f>SUM(O3206)</f>
        <v>472</v>
      </c>
    </row>
    <row r="3206" spans="1:15" hidden="1" outlineLevel="2">
      <c r="E3206" s="59"/>
      <c r="F3206" s="60"/>
      <c r="G3206" s="34"/>
      <c r="H3206" s="30"/>
      <c r="I3206" s="35"/>
      <c r="J3206" s="41"/>
      <c r="K3206" s="10"/>
      <c r="L3206" s="32"/>
      <c r="M3206" s="10"/>
      <c r="N3206" s="33">
        <v>472</v>
      </c>
      <c r="O3206" s="31">
        <f>ROUND(PRODUCT(J3206:N3206),2)</f>
        <v>472</v>
      </c>
    </row>
    <row r="3207" spans="1:15" ht="30" hidden="1" outlineLevel="1">
      <c r="A3207" s="2">
        <v>7</v>
      </c>
      <c r="B3207" s="2">
        <v>14</v>
      </c>
      <c r="C3207" s="2">
        <f>C3205+1</f>
        <v>10</v>
      </c>
      <c r="E3207" s="20" t="str">
        <f>CONCATENATE(A3207,".",B3207,".",C3207)</f>
        <v>7.14.10</v>
      </c>
      <c r="F3207" s="21" t="s">
        <v>4312</v>
      </c>
      <c r="G3207" s="22" t="s">
        <v>636</v>
      </c>
      <c r="H3207" s="23" t="s">
        <v>637</v>
      </c>
      <c r="I3207" s="24" t="s">
        <v>144</v>
      </c>
      <c r="J3207" s="32"/>
      <c r="K3207" s="10"/>
      <c r="L3207" s="32"/>
      <c r="M3207" s="10"/>
      <c r="N3207" s="33"/>
      <c r="O3207" s="11">
        <f>SUM(O3208)</f>
        <v>7</v>
      </c>
    </row>
    <row r="3208" spans="1:15" hidden="1" outlineLevel="2">
      <c r="E3208" s="59"/>
      <c r="F3208" s="60"/>
      <c r="G3208" s="34"/>
      <c r="H3208" s="30"/>
      <c r="I3208" s="35"/>
      <c r="J3208" s="41"/>
      <c r="K3208" s="10"/>
      <c r="L3208" s="32"/>
      <c r="M3208" s="10"/>
      <c r="N3208" s="33">
        <v>7</v>
      </c>
      <c r="O3208" s="31">
        <f>ROUND(PRODUCT(J3208:N3208),2)</f>
        <v>7</v>
      </c>
    </row>
    <row r="3209" spans="1:15" ht="30" hidden="1" outlineLevel="1">
      <c r="A3209" s="2">
        <v>7</v>
      </c>
      <c r="B3209" s="2">
        <v>14</v>
      </c>
      <c r="C3209" s="2">
        <f>C3207+1</f>
        <v>11</v>
      </c>
      <c r="E3209" s="20" t="str">
        <f>CONCATENATE(A3209,".",B3209,".",C3209)</f>
        <v>7.14.11</v>
      </c>
      <c r="F3209" s="21" t="s">
        <v>4313</v>
      </c>
      <c r="G3209" s="22" t="s">
        <v>3376</v>
      </c>
      <c r="H3209" s="23" t="s">
        <v>3377</v>
      </c>
      <c r="I3209" s="24" t="s">
        <v>144</v>
      </c>
      <c r="J3209" s="32"/>
      <c r="K3209" s="10"/>
      <c r="L3209" s="32"/>
      <c r="M3209" s="10"/>
      <c r="N3209" s="33"/>
      <c r="O3209" s="11">
        <f>SUM(O3210)</f>
        <v>9089</v>
      </c>
    </row>
    <row r="3210" spans="1:15" hidden="1" outlineLevel="2">
      <c r="E3210" s="59"/>
      <c r="F3210" s="60"/>
      <c r="G3210" s="34"/>
      <c r="H3210" s="30"/>
      <c r="I3210" s="35"/>
      <c r="J3210" s="41"/>
      <c r="K3210" s="10"/>
      <c r="L3210" s="32"/>
      <c r="M3210" s="10"/>
      <c r="N3210" s="33">
        <v>9089</v>
      </c>
      <c r="O3210" s="31">
        <f>ROUND(PRODUCT(J3210:N3210),2)</f>
        <v>9089</v>
      </c>
    </row>
    <row r="3211" spans="1:15" hidden="1" outlineLevel="1">
      <c r="A3211" s="2">
        <v>7</v>
      </c>
      <c r="B3211" s="2">
        <v>14</v>
      </c>
      <c r="C3211" s="2">
        <f>C3209+1</f>
        <v>12</v>
      </c>
      <c r="E3211" s="20" t="str">
        <f>CONCATENATE(A3211,".",B3211,".",C3211)</f>
        <v>7.14.12</v>
      </c>
      <c r="F3211" s="21" t="s">
        <v>4314</v>
      </c>
      <c r="G3211" s="22" t="s">
        <v>2630</v>
      </c>
      <c r="H3211" s="23" t="s">
        <v>2631</v>
      </c>
      <c r="I3211" s="24" t="s">
        <v>36</v>
      </c>
      <c r="J3211" s="32"/>
      <c r="K3211" s="10"/>
      <c r="L3211" s="32"/>
      <c r="M3211" s="10"/>
      <c r="N3211" s="33"/>
      <c r="O3211" s="11">
        <f>SUM(O3212:O3213)</f>
        <v>84</v>
      </c>
    </row>
    <row r="3212" spans="1:15" hidden="1" outlineLevel="2">
      <c r="E3212" s="59"/>
      <c r="F3212" s="60"/>
      <c r="G3212" s="34"/>
      <c r="H3212" s="30"/>
      <c r="I3212" s="35"/>
      <c r="J3212" s="41"/>
      <c r="K3212" s="10"/>
      <c r="L3212" s="32"/>
      <c r="M3212" s="10"/>
      <c r="N3212" s="33">
        <v>80</v>
      </c>
      <c r="O3212" s="31">
        <f>ROUND(PRODUCT(J3212:N3212),2)</f>
        <v>80</v>
      </c>
    </row>
    <row r="3213" spans="1:15" hidden="1" outlineLevel="2">
      <c r="E3213" s="59"/>
      <c r="F3213" s="60"/>
      <c r="G3213" s="34"/>
      <c r="H3213" s="30"/>
      <c r="I3213" s="35"/>
      <c r="J3213" s="41"/>
      <c r="K3213" s="10"/>
      <c r="L3213" s="32"/>
      <c r="M3213" s="10"/>
      <c r="N3213" s="33">
        <v>4</v>
      </c>
      <c r="O3213" s="31">
        <f>ROUND(PRODUCT(J3213:N3213),2)</f>
        <v>4</v>
      </c>
    </row>
    <row r="3214" spans="1:15" ht="30" hidden="1" outlineLevel="1">
      <c r="A3214" s="2">
        <v>7</v>
      </c>
      <c r="B3214" s="2">
        <v>14</v>
      </c>
      <c r="C3214" s="2">
        <f>C3211+1</f>
        <v>13</v>
      </c>
      <c r="E3214" s="20" t="str">
        <f>CONCATENATE(A3214,".",B3214,".",C3214)</f>
        <v>7.14.13</v>
      </c>
      <c r="F3214" s="21" t="s">
        <v>4315</v>
      </c>
      <c r="G3214" s="22" t="s">
        <v>654</v>
      </c>
      <c r="H3214" s="23" t="s">
        <v>655</v>
      </c>
      <c r="I3214" s="24" t="s">
        <v>36</v>
      </c>
      <c r="J3214" s="32"/>
      <c r="K3214" s="10"/>
      <c r="L3214" s="32"/>
      <c r="M3214" s="10"/>
      <c r="N3214" s="33"/>
      <c r="O3214" s="11">
        <f>SUM(O3215)</f>
        <v>1</v>
      </c>
    </row>
    <row r="3215" spans="1:15" hidden="1" outlineLevel="2">
      <c r="E3215" s="59"/>
      <c r="F3215" s="60"/>
      <c r="G3215" s="34"/>
      <c r="H3215" s="30"/>
      <c r="I3215" s="35"/>
      <c r="J3215" s="41"/>
      <c r="K3215" s="10"/>
      <c r="L3215" s="32"/>
      <c r="M3215" s="10"/>
      <c r="N3215" s="33">
        <v>1</v>
      </c>
      <c r="O3215" s="31">
        <f>ROUND(PRODUCT(J3215:N3215),2)</f>
        <v>1</v>
      </c>
    </row>
    <row r="3216" spans="1:15" hidden="1" outlineLevel="1">
      <c r="A3216" s="2">
        <v>7</v>
      </c>
      <c r="B3216" s="2">
        <v>14</v>
      </c>
      <c r="C3216" s="2">
        <f>C3214+1</f>
        <v>14</v>
      </c>
      <c r="E3216" s="20" t="str">
        <f>CONCATENATE(A3216,".",B3216,".",C3216)</f>
        <v>7.14.14</v>
      </c>
      <c r="F3216" s="21" t="s">
        <v>4316</v>
      </c>
      <c r="G3216" s="22" t="s">
        <v>2577</v>
      </c>
      <c r="H3216" s="23" t="s">
        <v>2578</v>
      </c>
      <c r="I3216" s="24" t="s">
        <v>36</v>
      </c>
      <c r="J3216" s="32"/>
      <c r="K3216" s="10"/>
      <c r="L3216" s="32"/>
      <c r="M3216" s="10"/>
      <c r="N3216" s="33"/>
      <c r="O3216" s="11">
        <f>SUM(O3217)</f>
        <v>7</v>
      </c>
    </row>
    <row r="3217" spans="1:16" hidden="1" outlineLevel="2">
      <c r="E3217" s="59"/>
      <c r="F3217" s="60"/>
      <c r="G3217" s="34"/>
      <c r="H3217" s="30"/>
      <c r="I3217" s="35"/>
      <c r="J3217" s="41"/>
      <c r="K3217" s="10"/>
      <c r="L3217" s="32"/>
      <c r="M3217" s="10"/>
      <c r="N3217" s="33">
        <v>7</v>
      </c>
      <c r="O3217" s="31">
        <f>ROUND(PRODUCT(J3217:N3217),2)</f>
        <v>7</v>
      </c>
    </row>
    <row r="3218" spans="1:16" hidden="1" outlineLevel="1">
      <c r="A3218" s="2">
        <v>7</v>
      </c>
      <c r="B3218" s="2">
        <v>14</v>
      </c>
      <c r="C3218" s="2">
        <f>C3216+1</f>
        <v>15</v>
      </c>
      <c r="E3218" s="20" t="str">
        <f>CONCATENATE(A3218,".",B3218,".",C3218)</f>
        <v>7.14.15</v>
      </c>
      <c r="F3218" s="21" t="s">
        <v>4317</v>
      </c>
      <c r="G3218" s="65">
        <v>98304</v>
      </c>
      <c r="H3218" s="23" t="s">
        <v>3392</v>
      </c>
      <c r="I3218" s="24" t="s">
        <v>36</v>
      </c>
      <c r="J3218" s="32"/>
      <c r="K3218" s="10"/>
      <c r="L3218" s="32"/>
      <c r="M3218" s="10"/>
      <c r="N3218" s="33"/>
      <c r="O3218" s="11">
        <f>SUM(O3219)</f>
        <v>1</v>
      </c>
    </row>
    <row r="3219" spans="1:16" hidden="1" outlineLevel="2">
      <c r="E3219" s="59"/>
      <c r="F3219" s="60"/>
      <c r="G3219" s="34"/>
      <c r="H3219" s="30"/>
      <c r="I3219" s="35"/>
      <c r="J3219" s="41"/>
      <c r="K3219" s="10"/>
      <c r="L3219" s="32"/>
      <c r="M3219" s="10"/>
      <c r="N3219" s="33">
        <v>1</v>
      </c>
      <c r="O3219" s="31">
        <f>ROUND(PRODUCT(J3219:N3219),2)</f>
        <v>1</v>
      </c>
    </row>
    <row r="3220" spans="1:16" ht="30" hidden="1" outlineLevel="1">
      <c r="A3220" s="2">
        <v>7</v>
      </c>
      <c r="B3220" s="2">
        <v>14</v>
      </c>
      <c r="C3220" s="2">
        <f>C3218+1</f>
        <v>16</v>
      </c>
      <c r="E3220" s="20" t="str">
        <f>CONCATENATE(A3220,".",B3220,".",C3220)</f>
        <v>7.14.16</v>
      </c>
      <c r="F3220" s="21" t="s">
        <v>4318</v>
      </c>
      <c r="G3220" s="65">
        <v>91939</v>
      </c>
      <c r="H3220" s="23" t="s">
        <v>2353</v>
      </c>
      <c r="I3220" s="24" t="s">
        <v>36</v>
      </c>
      <c r="J3220" s="32"/>
      <c r="K3220" s="10"/>
      <c r="L3220" s="32"/>
      <c r="M3220" s="10"/>
      <c r="N3220" s="33"/>
      <c r="O3220" s="11">
        <f>SUM(O3221)</f>
        <v>15</v>
      </c>
    </row>
    <row r="3221" spans="1:16" hidden="1" outlineLevel="2">
      <c r="E3221" s="59"/>
      <c r="F3221" s="60"/>
      <c r="G3221" s="34"/>
      <c r="H3221" s="30"/>
      <c r="I3221" s="35"/>
      <c r="J3221" s="41"/>
      <c r="K3221" s="10"/>
      <c r="L3221" s="32"/>
      <c r="M3221" s="10"/>
      <c r="N3221" s="33">
        <v>15</v>
      </c>
      <c r="O3221" s="31">
        <f>ROUND(PRODUCT(J3221:N3221),2)</f>
        <v>15</v>
      </c>
    </row>
    <row r="3222" spans="1:16" ht="30" hidden="1" outlineLevel="1">
      <c r="A3222" s="2">
        <v>7</v>
      </c>
      <c r="B3222" s="2">
        <v>14</v>
      </c>
      <c r="C3222" s="2">
        <f>C3220+1</f>
        <v>17</v>
      </c>
      <c r="E3222" s="20" t="str">
        <f>CONCATENATE(A3222,".",B3222,".",C3222)</f>
        <v>7.14.17</v>
      </c>
      <c r="F3222" s="21" t="s">
        <v>4319</v>
      </c>
      <c r="G3222" s="65">
        <v>91942</v>
      </c>
      <c r="H3222" s="23" t="s">
        <v>2608</v>
      </c>
      <c r="I3222" s="24" t="s">
        <v>36</v>
      </c>
      <c r="J3222" s="32"/>
      <c r="K3222" s="10"/>
      <c r="L3222" s="32"/>
      <c r="M3222" s="10"/>
      <c r="N3222" s="33"/>
      <c r="O3222" s="11">
        <f>SUM(O3223)</f>
        <v>30</v>
      </c>
    </row>
    <row r="3223" spans="1:16" hidden="1" outlineLevel="2">
      <c r="E3223" s="59"/>
      <c r="F3223" s="60"/>
      <c r="G3223" s="34"/>
      <c r="H3223" s="30"/>
      <c r="I3223" s="35"/>
      <c r="J3223" s="41"/>
      <c r="K3223" s="10"/>
      <c r="L3223" s="32"/>
      <c r="M3223" s="10"/>
      <c r="N3223" s="33">
        <v>30</v>
      </c>
      <c r="O3223" s="31">
        <f>ROUND(PRODUCT(J3223:N3223),2)</f>
        <v>30</v>
      </c>
    </row>
    <row r="3224" spans="1:16" ht="30" hidden="1" outlineLevel="1">
      <c r="A3224" s="2">
        <v>7</v>
      </c>
      <c r="B3224" s="2">
        <v>14</v>
      </c>
      <c r="C3224" s="2">
        <f>C3222+1</f>
        <v>18</v>
      </c>
      <c r="E3224" s="20" t="str">
        <f>CONCATENATE(A3224,".",B3224,".",C3224)</f>
        <v>7.14.18</v>
      </c>
      <c r="F3224" s="21" t="s">
        <v>4320</v>
      </c>
      <c r="G3224" s="65">
        <v>91936</v>
      </c>
      <c r="H3224" s="23" t="s">
        <v>540</v>
      </c>
      <c r="I3224" s="24" t="s">
        <v>36</v>
      </c>
      <c r="J3224" s="32"/>
      <c r="K3224" s="10"/>
      <c r="L3224" s="32"/>
      <c r="M3224" s="10"/>
      <c r="N3224" s="33"/>
      <c r="O3224" s="11">
        <f>SUM(O3225)</f>
        <v>23</v>
      </c>
    </row>
    <row r="3225" spans="1:16" hidden="1" outlineLevel="2">
      <c r="E3225" s="59"/>
      <c r="F3225" s="60"/>
      <c r="G3225" s="34"/>
      <c r="H3225" s="30"/>
      <c r="I3225" s="35"/>
      <c r="J3225" s="41"/>
      <c r="K3225" s="10"/>
      <c r="L3225" s="32"/>
      <c r="M3225" s="10"/>
      <c r="N3225" s="33">
        <v>23</v>
      </c>
      <c r="O3225" s="31">
        <f>ROUND(PRODUCT(J3225:N3225),2)</f>
        <v>23</v>
      </c>
    </row>
    <row r="3226" spans="1:16" ht="30" hidden="1" outlineLevel="1">
      <c r="A3226" s="2">
        <v>7</v>
      </c>
      <c r="B3226" s="2">
        <v>14</v>
      </c>
      <c r="C3226" s="2">
        <f>C3224+1</f>
        <v>19</v>
      </c>
      <c r="E3226" s="20" t="str">
        <f>CONCATENATE(A3226,".",B3226,".",C3226)</f>
        <v>7.14.19</v>
      </c>
      <c r="F3226" s="21" t="s">
        <v>4321</v>
      </c>
      <c r="G3226" s="22" t="s">
        <v>3381</v>
      </c>
      <c r="H3226" s="23" t="s">
        <v>3382</v>
      </c>
      <c r="I3226" s="24" t="s">
        <v>144</v>
      </c>
      <c r="J3226" s="32"/>
      <c r="K3226" s="10"/>
      <c r="L3226" s="32"/>
      <c r="M3226" s="10"/>
      <c r="N3226" s="33"/>
      <c r="O3226" s="11">
        <f>SUM(O3227)</f>
        <v>5.55</v>
      </c>
    </row>
    <row r="3227" spans="1:16" hidden="1" outlineLevel="2">
      <c r="E3227" s="59"/>
      <c r="F3227" s="60"/>
      <c r="G3227" s="34"/>
      <c r="H3227" s="30"/>
      <c r="I3227" s="35"/>
      <c r="J3227" s="41"/>
      <c r="K3227" s="10"/>
      <c r="L3227" s="32"/>
      <c r="M3227" s="10"/>
      <c r="N3227" s="33">
        <v>5.55</v>
      </c>
      <c r="O3227" s="31">
        <f>ROUND(PRODUCT(J3227:N3227),2)</f>
        <v>5.55</v>
      </c>
    </row>
    <row r="3228" spans="1:16" ht="30" hidden="1" outlineLevel="1">
      <c r="A3228" s="2">
        <v>7</v>
      </c>
      <c r="B3228" s="2">
        <v>14</v>
      </c>
      <c r="C3228" s="2">
        <f>C3226+1</f>
        <v>20</v>
      </c>
      <c r="E3228" s="20" t="str">
        <f>CONCATENATE(A3228,".",B3228,".",C3228)</f>
        <v>7.14.20</v>
      </c>
      <c r="F3228" s="21" t="s">
        <v>4322</v>
      </c>
      <c r="G3228" s="22" t="s">
        <v>4323</v>
      </c>
      <c r="H3228" s="23" t="s">
        <v>4324</v>
      </c>
      <c r="I3228" s="24" t="s">
        <v>144</v>
      </c>
      <c r="J3228" s="32"/>
      <c r="K3228" s="10"/>
      <c r="L3228" s="32"/>
      <c r="M3228" s="10"/>
      <c r="N3228" s="33"/>
      <c r="O3228" s="11">
        <f>SUM(O3229)</f>
        <v>12</v>
      </c>
    </row>
    <row r="3229" spans="1:16" hidden="1" outlineLevel="2">
      <c r="E3229" s="59"/>
      <c r="F3229" s="60"/>
      <c r="G3229" s="34"/>
      <c r="H3229" s="30"/>
      <c r="I3229" s="35"/>
      <c r="J3229" s="41"/>
      <c r="K3229" s="10"/>
      <c r="L3229" s="32"/>
      <c r="M3229" s="10"/>
      <c r="N3229" s="33">
        <v>12</v>
      </c>
      <c r="O3229" s="31">
        <f>ROUND(PRODUCT(J3229:N3229),2)</f>
        <v>12</v>
      </c>
    </row>
    <row r="3230" spans="1:16" hidden="1" outlineLevel="1">
      <c r="A3230" s="2">
        <v>7</v>
      </c>
      <c r="B3230" s="2">
        <v>14</v>
      </c>
      <c r="C3230" s="2">
        <f>C3228+1</f>
        <v>21</v>
      </c>
      <c r="E3230" s="20" t="str">
        <f>CONCATENATE(A3230,".",B3230,".",C3230)</f>
        <v>7.14.21</v>
      </c>
      <c r="F3230" s="21" t="s">
        <v>4325</v>
      </c>
      <c r="G3230" s="22" t="s">
        <v>3384</v>
      </c>
      <c r="H3230" s="23" t="s">
        <v>3385</v>
      </c>
      <c r="I3230" s="24" t="s">
        <v>36</v>
      </c>
      <c r="J3230" s="32"/>
      <c r="K3230" s="10"/>
      <c r="L3230" s="32"/>
      <c r="M3230" s="10"/>
      <c r="N3230" s="33"/>
      <c r="O3230" s="11">
        <f>SUM(O3231)</f>
        <v>1</v>
      </c>
    </row>
    <row r="3231" spans="1:16" hidden="1" outlineLevel="2">
      <c r="E3231" s="59"/>
      <c r="F3231" s="60"/>
      <c r="G3231" s="34"/>
      <c r="H3231" s="30"/>
      <c r="I3231" s="35"/>
      <c r="J3231" s="41"/>
      <c r="K3231" s="10"/>
      <c r="L3231" s="32"/>
      <c r="M3231" s="10"/>
      <c r="N3231" s="33">
        <v>1</v>
      </c>
      <c r="O3231" s="31">
        <f>ROUND(PRODUCT(J3231:N3231),2)</f>
        <v>1</v>
      </c>
    </row>
    <row r="3232" spans="1:16" hidden="1" outlineLevel="1">
      <c r="A3232" s="2">
        <v>7</v>
      </c>
      <c r="B3232" s="2">
        <v>14</v>
      </c>
      <c r="C3232" s="2">
        <f>C3230+1</f>
        <v>22</v>
      </c>
      <c r="E3232" s="20" t="str">
        <f>CONCATENATE(A3232,".",B3232,".",C3232)</f>
        <v>7.14.22</v>
      </c>
      <c r="F3232" s="21" t="s">
        <v>4326</v>
      </c>
      <c r="G3232" s="22" t="s">
        <v>4327</v>
      </c>
      <c r="H3232" s="23" t="s">
        <v>4328</v>
      </c>
      <c r="I3232" s="24" t="s">
        <v>36</v>
      </c>
      <c r="J3232" s="32"/>
      <c r="K3232" s="10"/>
      <c r="L3232" s="32"/>
      <c r="M3232" s="10"/>
      <c r="N3232" s="33"/>
      <c r="O3232" s="11">
        <f>SUM(O3233)</f>
        <v>2</v>
      </c>
      <c r="P3232" s="185"/>
    </row>
    <row r="3233" spans="1:16" hidden="1" outlineLevel="2">
      <c r="E3233" s="59"/>
      <c r="F3233" s="60"/>
      <c r="G3233" s="34"/>
      <c r="H3233" s="30"/>
      <c r="I3233" s="35"/>
      <c r="J3233" s="41"/>
      <c r="K3233" s="10"/>
      <c r="L3233" s="32"/>
      <c r="M3233" s="10"/>
      <c r="N3233" s="33">
        <v>2</v>
      </c>
      <c r="O3233" s="31">
        <f>ROUND(PRODUCT(J3233:N3233),2)</f>
        <v>2</v>
      </c>
    </row>
    <row r="3234" spans="1:16" hidden="1" outlineLevel="1">
      <c r="A3234" s="2">
        <v>7</v>
      </c>
      <c r="B3234" s="2">
        <v>14</v>
      </c>
      <c r="C3234" s="2">
        <f>C3232+1</f>
        <v>23</v>
      </c>
      <c r="E3234" s="20" t="str">
        <f>CONCATENATE(A3234,".",B3234,".",C3234)</f>
        <v>7.14.23</v>
      </c>
      <c r="F3234" s="21" t="s">
        <v>4329</v>
      </c>
      <c r="G3234" s="22" t="s">
        <v>3433</v>
      </c>
      <c r="H3234" s="23" t="s">
        <v>3434</v>
      </c>
      <c r="I3234" s="24" t="s">
        <v>36</v>
      </c>
      <c r="J3234" s="32"/>
      <c r="K3234" s="10"/>
      <c r="L3234" s="32"/>
      <c r="M3234" s="10"/>
      <c r="N3234" s="33"/>
      <c r="O3234" s="11">
        <f>SUM(O3235)</f>
        <v>1</v>
      </c>
      <c r="P3234" s="185"/>
    </row>
    <row r="3235" spans="1:16" hidden="1" outlineLevel="2">
      <c r="E3235" s="59"/>
      <c r="F3235" s="60"/>
      <c r="G3235" s="34"/>
      <c r="H3235" s="30"/>
      <c r="I3235" s="35"/>
      <c r="J3235" s="41"/>
      <c r="K3235" s="10"/>
      <c r="L3235" s="32"/>
      <c r="M3235" s="10"/>
      <c r="N3235" s="33">
        <v>1</v>
      </c>
      <c r="O3235" s="31">
        <f>ROUND(PRODUCT(J3235:N3235),2)</f>
        <v>1</v>
      </c>
    </row>
    <row r="3236" spans="1:16" hidden="1" outlineLevel="1">
      <c r="A3236" s="2">
        <v>7</v>
      </c>
      <c r="B3236" s="2">
        <v>14</v>
      </c>
      <c r="C3236" s="2">
        <f>C3234+1</f>
        <v>24</v>
      </c>
      <c r="E3236" s="20" t="str">
        <f>CONCATENATE(A3236,".",B3236,".",C3236)</f>
        <v>7.14.24</v>
      </c>
      <c r="F3236" s="21" t="s">
        <v>4330</v>
      </c>
      <c r="G3236" s="22" t="s">
        <v>3405</v>
      </c>
      <c r="H3236" s="23" t="s">
        <v>3406</v>
      </c>
      <c r="I3236" s="24" t="s">
        <v>36</v>
      </c>
      <c r="J3236" s="32"/>
      <c r="K3236" s="10"/>
      <c r="L3236" s="32"/>
      <c r="M3236" s="10"/>
      <c r="N3236" s="33"/>
      <c r="O3236" s="11">
        <f>SUM(O3237)</f>
        <v>3</v>
      </c>
      <c r="P3236" s="185"/>
    </row>
    <row r="3237" spans="1:16" hidden="1" outlineLevel="2">
      <c r="E3237" s="59"/>
      <c r="F3237" s="60"/>
      <c r="G3237" s="34"/>
      <c r="H3237" s="30"/>
      <c r="I3237" s="35"/>
      <c r="J3237" s="41"/>
      <c r="K3237" s="10"/>
      <c r="L3237" s="32"/>
      <c r="M3237" s="10"/>
      <c r="N3237" s="33">
        <v>3</v>
      </c>
      <c r="O3237" s="31">
        <f>ROUND(PRODUCT(J3237:N3237),2)</f>
        <v>3</v>
      </c>
    </row>
    <row r="3238" spans="1:16" hidden="1" outlineLevel="1">
      <c r="A3238" s="2">
        <v>7</v>
      </c>
      <c r="B3238" s="2">
        <v>14</v>
      </c>
      <c r="C3238" s="2">
        <f>C3236+1</f>
        <v>25</v>
      </c>
      <c r="E3238" s="20" t="str">
        <f>CONCATENATE(A3238,".",B3238,".",C3238)</f>
        <v>7.14.25</v>
      </c>
      <c r="F3238" s="21" t="s">
        <v>4331</v>
      </c>
      <c r="G3238" s="22" t="s">
        <v>3414</v>
      </c>
      <c r="H3238" s="23" t="s">
        <v>3415</v>
      </c>
      <c r="I3238" s="24" t="s">
        <v>36</v>
      </c>
      <c r="J3238" s="32"/>
      <c r="K3238" s="10"/>
      <c r="L3238" s="32"/>
      <c r="M3238" s="10"/>
      <c r="N3238" s="33"/>
      <c r="O3238" s="11">
        <f>SUM(O3239)</f>
        <v>2</v>
      </c>
      <c r="P3238" s="185"/>
    </row>
    <row r="3239" spans="1:16" hidden="1" outlineLevel="2">
      <c r="E3239" s="59"/>
      <c r="F3239" s="60"/>
      <c r="G3239" s="34"/>
      <c r="H3239" s="30"/>
      <c r="I3239" s="35"/>
      <c r="J3239" s="41"/>
      <c r="K3239" s="10"/>
      <c r="L3239" s="32"/>
      <c r="M3239" s="10"/>
      <c r="N3239" s="33">
        <v>2</v>
      </c>
      <c r="O3239" s="31">
        <f>ROUND(PRODUCT(J3239:N3239),2)</f>
        <v>2</v>
      </c>
    </row>
    <row r="3240" spans="1:16" hidden="1" outlineLevel="1">
      <c r="A3240" s="2">
        <v>7</v>
      </c>
      <c r="B3240" s="2">
        <v>14</v>
      </c>
      <c r="C3240" s="2">
        <f>C3238+1</f>
        <v>26</v>
      </c>
      <c r="E3240" s="20" t="str">
        <f>CONCATENATE(A3240,".",B3240,".",C3240)</f>
        <v>7.14.26</v>
      </c>
      <c r="F3240" s="21" t="s">
        <v>4332</v>
      </c>
      <c r="G3240" s="22" t="s">
        <v>4012</v>
      </c>
      <c r="H3240" s="23" t="s">
        <v>3473</v>
      </c>
      <c r="I3240" s="24" t="s">
        <v>36</v>
      </c>
      <c r="J3240" s="32"/>
      <c r="K3240" s="10"/>
      <c r="L3240" s="32"/>
      <c r="M3240" s="10"/>
      <c r="N3240" s="33"/>
      <c r="O3240" s="11">
        <f>SUM(O3241)</f>
        <v>3</v>
      </c>
      <c r="P3240" s="185"/>
    </row>
    <row r="3241" spans="1:16" hidden="1" outlineLevel="2">
      <c r="E3241" s="59"/>
      <c r="F3241" s="60"/>
      <c r="G3241" s="34"/>
      <c r="H3241" s="30"/>
      <c r="I3241" s="35"/>
      <c r="J3241" s="41"/>
      <c r="K3241" s="10"/>
      <c r="L3241" s="32"/>
      <c r="M3241" s="10"/>
      <c r="N3241" s="33">
        <v>3</v>
      </c>
      <c r="O3241" s="31">
        <f>ROUND(PRODUCT(J3241:N3241),2)</f>
        <v>3</v>
      </c>
      <c r="P3241" s="185"/>
    </row>
    <row r="3242" spans="1:16" hidden="1" outlineLevel="1">
      <c r="A3242" s="2">
        <v>7</v>
      </c>
      <c r="B3242" s="2">
        <v>14</v>
      </c>
      <c r="C3242" s="2">
        <f>C3240+1</f>
        <v>27</v>
      </c>
      <c r="E3242" s="20" t="str">
        <f>CONCATENATE(A3242,".",B3242,".",C3242)</f>
        <v>7.14.27</v>
      </c>
      <c r="F3242" s="21" t="s">
        <v>4333</v>
      </c>
      <c r="G3242" s="22" t="s">
        <v>4334</v>
      </c>
      <c r="H3242" s="23" t="s">
        <v>4335</v>
      </c>
      <c r="I3242" s="24" t="s">
        <v>36</v>
      </c>
      <c r="J3242" s="32"/>
      <c r="K3242" s="10"/>
      <c r="L3242" s="32"/>
      <c r="M3242" s="10"/>
      <c r="N3242" s="33"/>
      <c r="O3242" s="11">
        <f>SUM(O3243)</f>
        <v>226</v>
      </c>
      <c r="P3242" s="185"/>
    </row>
    <row r="3243" spans="1:16" hidden="1" outlineLevel="2">
      <c r="E3243" s="59"/>
      <c r="F3243" s="60"/>
      <c r="G3243" s="34"/>
      <c r="H3243" s="30"/>
      <c r="I3243" s="35"/>
      <c r="J3243" s="41"/>
      <c r="K3243" s="10"/>
      <c r="L3243" s="32"/>
      <c r="M3243" s="10"/>
      <c r="N3243" s="33">
        <v>226</v>
      </c>
      <c r="O3243" s="31">
        <f>ROUND(PRODUCT(J3243:N3243),2)</f>
        <v>226</v>
      </c>
      <c r="P3243" s="185"/>
    </row>
    <row r="3244" spans="1:16" hidden="1" outlineLevel="1">
      <c r="A3244" s="2">
        <v>7</v>
      </c>
      <c r="B3244" s="2">
        <v>14</v>
      </c>
      <c r="C3244" s="2">
        <f>C3242+1</f>
        <v>28</v>
      </c>
      <c r="E3244" s="20" t="str">
        <f>CONCATENATE(A3244,".",B3244,".",C3244)</f>
        <v>7.14.28</v>
      </c>
      <c r="F3244" s="21" t="s">
        <v>4336</v>
      </c>
      <c r="G3244" s="22" t="s">
        <v>4337</v>
      </c>
      <c r="H3244" s="23" t="s">
        <v>4338</v>
      </c>
      <c r="I3244" s="24" t="s">
        <v>36</v>
      </c>
      <c r="J3244" s="32"/>
      <c r="K3244" s="10"/>
      <c r="L3244" s="32"/>
      <c r="M3244" s="10"/>
      <c r="N3244" s="33"/>
      <c r="O3244" s="11">
        <f>SUM(O3245)</f>
        <v>85</v>
      </c>
      <c r="P3244" s="185"/>
    </row>
    <row r="3245" spans="1:16" hidden="1" outlineLevel="2">
      <c r="E3245" s="59"/>
      <c r="F3245" s="60"/>
      <c r="G3245" s="34"/>
      <c r="H3245" s="30"/>
      <c r="I3245" s="35"/>
      <c r="J3245" s="41"/>
      <c r="K3245" s="10"/>
      <c r="L3245" s="32"/>
      <c r="M3245" s="10"/>
      <c r="N3245" s="33">
        <v>85</v>
      </c>
      <c r="O3245" s="31">
        <f>ROUND(PRODUCT(J3245:N3245),2)</f>
        <v>85</v>
      </c>
      <c r="P3245" s="185"/>
    </row>
    <row r="3246" spans="1:16" hidden="1" outlineLevel="1">
      <c r="A3246" s="2">
        <v>7</v>
      </c>
      <c r="B3246" s="2">
        <v>14</v>
      </c>
      <c r="C3246" s="2">
        <f>C3244+1</f>
        <v>29</v>
      </c>
      <c r="E3246" s="20" t="str">
        <f>CONCATENATE(A3246,".",B3246,".",C3246)</f>
        <v>7.14.29</v>
      </c>
      <c r="F3246" s="21" t="s">
        <v>4339</v>
      </c>
      <c r="G3246" s="22" t="s">
        <v>4002</v>
      </c>
      <c r="H3246" s="23" t="s">
        <v>3446</v>
      </c>
      <c r="I3246" s="24" t="s">
        <v>144</v>
      </c>
      <c r="J3246" s="32"/>
      <c r="K3246" s="10"/>
      <c r="L3246" s="32"/>
      <c r="M3246" s="10"/>
      <c r="N3246" s="33"/>
      <c r="O3246" s="11">
        <f>SUM(O3247)</f>
        <v>1331</v>
      </c>
      <c r="P3246" s="185"/>
    </row>
    <row r="3247" spans="1:16" hidden="1" outlineLevel="2">
      <c r="E3247" s="59"/>
      <c r="F3247" s="60"/>
      <c r="G3247" s="34"/>
      <c r="H3247" s="30"/>
      <c r="I3247" s="35"/>
      <c r="J3247" s="41"/>
      <c r="K3247" s="10"/>
      <c r="L3247" s="32"/>
      <c r="M3247" s="10"/>
      <c r="N3247" s="33">
        <f>206+1125</f>
        <v>1331</v>
      </c>
      <c r="O3247" s="31">
        <f>ROUND(PRODUCT(J3247:N3247),2)</f>
        <v>1331</v>
      </c>
      <c r="P3247" s="185"/>
    </row>
    <row r="3248" spans="1:16" hidden="1" outlineLevel="1">
      <c r="A3248" s="2">
        <v>7</v>
      </c>
      <c r="B3248" s="2">
        <v>14</v>
      </c>
      <c r="C3248" s="2">
        <f>C3246+1</f>
        <v>30</v>
      </c>
      <c r="E3248" s="20" t="str">
        <f>CONCATENATE(A3248,".",B3248,".",C3248)</f>
        <v>7.14.30</v>
      </c>
      <c r="F3248" s="21" t="s">
        <v>4340</v>
      </c>
      <c r="G3248" s="22" t="s">
        <v>4341</v>
      </c>
      <c r="H3248" s="23" t="s">
        <v>4342</v>
      </c>
      <c r="I3248" s="24" t="s">
        <v>36</v>
      </c>
      <c r="J3248" s="32"/>
      <c r="K3248" s="10"/>
      <c r="L3248" s="32"/>
      <c r="M3248" s="10"/>
      <c r="N3248" s="33"/>
      <c r="O3248" s="11">
        <f>SUM(O3249)</f>
        <v>4</v>
      </c>
      <c r="P3248" s="185"/>
    </row>
    <row r="3249" spans="1:16" hidden="1" outlineLevel="2">
      <c r="E3249" s="59"/>
      <c r="F3249" s="60"/>
      <c r="G3249" s="34"/>
      <c r="H3249" s="30"/>
      <c r="I3249" s="35"/>
      <c r="J3249" s="41"/>
      <c r="K3249" s="10"/>
      <c r="L3249" s="32"/>
      <c r="M3249" s="10"/>
      <c r="N3249" s="33">
        <v>4</v>
      </c>
      <c r="O3249" s="31">
        <f>ROUND(PRODUCT(J3249:N3249),2)</f>
        <v>4</v>
      </c>
      <c r="P3249" s="185"/>
    </row>
    <row r="3250" spans="1:16" ht="30" hidden="1" outlineLevel="1">
      <c r="A3250" s="2">
        <v>7</v>
      </c>
      <c r="B3250" s="2">
        <v>14</v>
      </c>
      <c r="C3250" s="2">
        <f>C3248+1</f>
        <v>31</v>
      </c>
      <c r="E3250" s="20" t="str">
        <f>CONCATENATE(A3250,".",B3250,".",C3250)</f>
        <v>7.14.31</v>
      </c>
      <c r="F3250" s="21" t="s">
        <v>4343</v>
      </c>
      <c r="G3250" s="22" t="s">
        <v>4344</v>
      </c>
      <c r="H3250" s="23" t="s">
        <v>4345</v>
      </c>
      <c r="I3250" s="24" t="s">
        <v>36</v>
      </c>
      <c r="J3250" s="32"/>
      <c r="K3250" s="10"/>
      <c r="L3250" s="32"/>
      <c r="M3250" s="10"/>
      <c r="N3250" s="33"/>
      <c r="O3250" s="11">
        <f>SUM(O3251)</f>
        <v>4</v>
      </c>
      <c r="P3250" s="185"/>
    </row>
    <row r="3251" spans="1:16" hidden="1" outlineLevel="2">
      <c r="E3251" s="59"/>
      <c r="F3251" s="60"/>
      <c r="G3251" s="34"/>
      <c r="H3251" s="30"/>
      <c r="I3251" s="35"/>
      <c r="J3251" s="41"/>
      <c r="K3251" s="10"/>
      <c r="L3251" s="32"/>
      <c r="M3251" s="10"/>
      <c r="N3251" s="33">
        <v>4</v>
      </c>
      <c r="O3251" s="31">
        <f>ROUND(PRODUCT(J3251:N3251),2)</f>
        <v>4</v>
      </c>
      <c r="P3251" s="185"/>
    </row>
    <row r="3252" spans="1:16" hidden="1" outlineLevel="1">
      <c r="A3252" s="2">
        <v>7</v>
      </c>
      <c r="B3252" s="2">
        <v>14</v>
      </c>
      <c r="C3252" s="2">
        <f>C3250+1</f>
        <v>32</v>
      </c>
      <c r="E3252" s="20" t="str">
        <f>CONCATENATE(A3252,".",B3252,".",C3252)</f>
        <v>7.14.32</v>
      </c>
      <c r="F3252" s="21" t="s">
        <v>4346</v>
      </c>
      <c r="G3252" s="22" t="s">
        <v>4347</v>
      </c>
      <c r="H3252" s="23" t="s">
        <v>4348</v>
      </c>
      <c r="I3252" s="24" t="s">
        <v>36</v>
      </c>
      <c r="J3252" s="32"/>
      <c r="K3252" s="10"/>
      <c r="L3252" s="32"/>
      <c r="M3252" s="10"/>
      <c r="N3252" s="33"/>
      <c r="O3252" s="11">
        <f>SUM(O3253)</f>
        <v>4</v>
      </c>
      <c r="P3252" s="185"/>
    </row>
    <row r="3253" spans="1:16" hidden="1" outlineLevel="2">
      <c r="E3253" s="59"/>
      <c r="F3253" s="60"/>
      <c r="G3253" s="34"/>
      <c r="H3253" s="30"/>
      <c r="I3253" s="35"/>
      <c r="J3253" s="41"/>
      <c r="K3253" s="10"/>
      <c r="L3253" s="32"/>
      <c r="M3253" s="10"/>
      <c r="N3253" s="33">
        <v>4</v>
      </c>
      <c r="O3253" s="31">
        <f>ROUND(PRODUCT(J3253:N3253),2)</f>
        <v>4</v>
      </c>
      <c r="P3253" s="185"/>
    </row>
    <row r="3254" spans="1:16" ht="30" hidden="1" outlineLevel="1">
      <c r="A3254" s="2">
        <v>7</v>
      </c>
      <c r="B3254" s="2">
        <v>14</v>
      </c>
      <c r="C3254" s="2">
        <f>C3252+1</f>
        <v>33</v>
      </c>
      <c r="E3254" s="20" t="str">
        <f>CONCATENATE(A3254,".",B3254,".",C3254)</f>
        <v>7.14.33</v>
      </c>
      <c r="F3254" s="21" t="s">
        <v>4349</v>
      </c>
      <c r="G3254" s="22" t="s">
        <v>4350</v>
      </c>
      <c r="H3254" s="23" t="s">
        <v>4351</v>
      </c>
      <c r="I3254" s="24" t="s">
        <v>36</v>
      </c>
      <c r="J3254" s="32"/>
      <c r="K3254" s="10"/>
      <c r="L3254" s="32"/>
      <c r="M3254" s="10"/>
      <c r="N3254" s="33"/>
      <c r="O3254" s="11">
        <f>SUM(O3255)</f>
        <v>2</v>
      </c>
      <c r="P3254" s="185"/>
    </row>
    <row r="3255" spans="1:16" hidden="1" outlineLevel="2">
      <c r="E3255" s="59"/>
      <c r="F3255" s="60"/>
      <c r="G3255" s="34"/>
      <c r="H3255" s="30"/>
      <c r="I3255" s="35"/>
      <c r="J3255" s="41"/>
      <c r="K3255" s="10"/>
      <c r="L3255" s="32"/>
      <c r="M3255" s="10"/>
      <c r="N3255" s="33">
        <v>2</v>
      </c>
      <c r="O3255" s="31">
        <f>ROUND(PRODUCT(J3255:N3255),2)</f>
        <v>2</v>
      </c>
      <c r="P3255" s="185"/>
    </row>
    <row r="3256" spans="1:16" hidden="1" outlineLevel="1">
      <c r="A3256" s="2">
        <v>7</v>
      </c>
      <c r="B3256" s="2">
        <v>14</v>
      </c>
      <c r="C3256" s="2">
        <f>C3254+1</f>
        <v>34</v>
      </c>
      <c r="E3256" s="20" t="str">
        <f>CONCATENATE(A3256,".",B3256,".",C3256)</f>
        <v>7.14.34</v>
      </c>
      <c r="F3256" s="21" t="s">
        <v>4352</v>
      </c>
      <c r="G3256" s="22" t="s">
        <v>3425</v>
      </c>
      <c r="H3256" s="23" t="s">
        <v>3426</v>
      </c>
      <c r="I3256" s="24" t="s">
        <v>36</v>
      </c>
      <c r="J3256" s="32"/>
      <c r="K3256" s="10"/>
      <c r="L3256" s="32"/>
      <c r="M3256" s="10"/>
      <c r="N3256" s="33"/>
      <c r="O3256" s="11">
        <f>SUM(O3257)</f>
        <v>7</v>
      </c>
      <c r="P3256" s="185"/>
    </row>
    <row r="3257" spans="1:16" hidden="1" outlineLevel="2">
      <c r="E3257" s="59"/>
      <c r="F3257" s="60"/>
      <c r="G3257" s="34"/>
      <c r="H3257" s="30"/>
      <c r="I3257" s="35"/>
      <c r="J3257" s="41"/>
      <c r="K3257" s="10"/>
      <c r="L3257" s="32"/>
      <c r="M3257" s="10"/>
      <c r="N3257" s="33">
        <v>7</v>
      </c>
      <c r="O3257" s="31">
        <f>ROUND(PRODUCT(J3257:N3257),2)</f>
        <v>7</v>
      </c>
      <c r="P3257" s="185"/>
    </row>
    <row r="3258" spans="1:16" hidden="1" outlineLevel="1">
      <c r="A3258" s="2">
        <v>7</v>
      </c>
      <c r="B3258" s="2">
        <v>14</v>
      </c>
      <c r="C3258" s="2">
        <f>C3256+1</f>
        <v>35</v>
      </c>
      <c r="E3258" s="20" t="str">
        <f>CONCATENATE(A3258,".",B3258,".",C3258)</f>
        <v>7.14.35</v>
      </c>
      <c r="F3258" s="21" t="s">
        <v>4353</v>
      </c>
      <c r="G3258" s="22" t="s">
        <v>3979</v>
      </c>
      <c r="H3258" s="23" t="s">
        <v>3476</v>
      </c>
      <c r="I3258" s="24" t="s">
        <v>36</v>
      </c>
      <c r="J3258" s="32"/>
      <c r="K3258" s="10"/>
      <c r="L3258" s="32"/>
      <c r="M3258" s="10"/>
      <c r="N3258" s="33"/>
      <c r="O3258" s="11">
        <f>SUM(O3259)</f>
        <v>20</v>
      </c>
      <c r="P3258" s="185"/>
    </row>
    <row r="3259" spans="1:16" hidden="1" outlineLevel="2">
      <c r="E3259" s="59"/>
      <c r="F3259" s="60"/>
      <c r="G3259" s="34"/>
      <c r="H3259" s="30"/>
      <c r="I3259" s="35"/>
      <c r="J3259" s="41"/>
      <c r="K3259" s="10"/>
      <c r="L3259" s="32"/>
      <c r="M3259" s="10"/>
      <c r="N3259" s="33">
        <v>20</v>
      </c>
      <c r="O3259" s="31">
        <f>ROUND(PRODUCT(J3259:N3259),2)</f>
        <v>20</v>
      </c>
      <c r="P3259" s="185"/>
    </row>
    <row r="3260" spans="1:16" hidden="1" outlineLevel="1">
      <c r="A3260" s="2">
        <v>7</v>
      </c>
      <c r="B3260" s="2">
        <v>14</v>
      </c>
      <c r="C3260" s="2">
        <f>C3258+1</f>
        <v>36</v>
      </c>
      <c r="E3260" s="20" t="str">
        <f>CONCATENATE(A3260,".",B3260,".",C3260)</f>
        <v>7.14.36</v>
      </c>
      <c r="F3260" s="21" t="s">
        <v>4354</v>
      </c>
      <c r="G3260" s="22" t="s">
        <v>3981</v>
      </c>
      <c r="H3260" s="23" t="s">
        <v>3479</v>
      </c>
      <c r="I3260" s="24" t="s">
        <v>36</v>
      </c>
      <c r="J3260" s="32"/>
      <c r="K3260" s="10"/>
      <c r="L3260" s="32"/>
      <c r="M3260" s="10"/>
      <c r="N3260" s="33"/>
      <c r="O3260" s="11">
        <f>SUM(O3261)</f>
        <v>2</v>
      </c>
      <c r="P3260" s="185"/>
    </row>
    <row r="3261" spans="1:16" hidden="1" outlineLevel="2">
      <c r="E3261" s="59"/>
      <c r="F3261" s="60"/>
      <c r="G3261" s="34"/>
      <c r="H3261" s="30"/>
      <c r="I3261" s="35"/>
      <c r="J3261" s="41"/>
      <c r="K3261" s="10"/>
      <c r="L3261" s="32"/>
      <c r="M3261" s="10"/>
      <c r="N3261" s="33">
        <v>2</v>
      </c>
      <c r="O3261" s="31">
        <f>ROUND(PRODUCT(J3261:N3261),2)</f>
        <v>2</v>
      </c>
      <c r="P3261" s="185"/>
    </row>
    <row r="3262" spans="1:16" ht="45" hidden="1" outlineLevel="1">
      <c r="A3262" s="2">
        <v>7</v>
      </c>
      <c r="B3262" s="2">
        <v>14</v>
      </c>
      <c r="C3262" s="2">
        <f>C3260+1</f>
        <v>37</v>
      </c>
      <c r="E3262" s="20" t="str">
        <f>CONCATENATE(A3262,".",B3262,".",C3262)</f>
        <v>7.14.37</v>
      </c>
      <c r="F3262" s="21" t="s">
        <v>4355</v>
      </c>
      <c r="G3262" s="22" t="s">
        <v>4356</v>
      </c>
      <c r="H3262" s="23" t="s">
        <v>4357</v>
      </c>
      <c r="I3262" s="24" t="s">
        <v>36</v>
      </c>
      <c r="J3262" s="32"/>
      <c r="K3262" s="10"/>
      <c r="L3262" s="32"/>
      <c r="M3262" s="10"/>
      <c r="N3262" s="33"/>
      <c r="O3262" s="11">
        <f>SUM(O3263)</f>
        <v>2</v>
      </c>
      <c r="P3262" s="185"/>
    </row>
    <row r="3263" spans="1:16" hidden="1" outlineLevel="2">
      <c r="E3263" s="59"/>
      <c r="F3263" s="60"/>
      <c r="G3263" s="34"/>
      <c r="H3263" s="30"/>
      <c r="I3263" s="35"/>
      <c r="J3263" s="41"/>
      <c r="K3263" s="10"/>
      <c r="L3263" s="32"/>
      <c r="M3263" s="10"/>
      <c r="N3263" s="33">
        <v>2</v>
      </c>
      <c r="O3263" s="31">
        <f>ROUND(PRODUCT(J3263:N3263),2)</f>
        <v>2</v>
      </c>
      <c r="P3263" s="185"/>
    </row>
    <row r="3264" spans="1:16" hidden="1" outlineLevel="1">
      <c r="A3264" s="2">
        <v>7</v>
      </c>
      <c r="B3264" s="2">
        <v>14</v>
      </c>
      <c r="C3264" s="2">
        <f>C3262+1</f>
        <v>38</v>
      </c>
      <c r="E3264" s="20" t="str">
        <f>CONCATENATE(A3264,".",B3264,".",C3264)</f>
        <v>7.14.38</v>
      </c>
      <c r="F3264" s="21" t="s">
        <v>4358</v>
      </c>
      <c r="G3264" s="22" t="s">
        <v>4359</v>
      </c>
      <c r="H3264" s="23" t="s">
        <v>4360</v>
      </c>
      <c r="I3264" s="24" t="s">
        <v>36</v>
      </c>
      <c r="J3264" s="32"/>
      <c r="K3264" s="10"/>
      <c r="L3264" s="32"/>
      <c r="M3264" s="10"/>
      <c r="N3264" s="33"/>
      <c r="O3264" s="11">
        <f>SUM(O3265)</f>
        <v>2</v>
      </c>
      <c r="P3264" s="185"/>
    </row>
    <row r="3265" spans="1:16" hidden="1" outlineLevel="2">
      <c r="E3265" s="59"/>
      <c r="F3265" s="60"/>
      <c r="G3265" s="34"/>
      <c r="H3265" s="30"/>
      <c r="I3265" s="35"/>
      <c r="J3265" s="41"/>
      <c r="K3265" s="10"/>
      <c r="L3265" s="32"/>
      <c r="M3265" s="10"/>
      <c r="N3265" s="33">
        <v>2</v>
      </c>
      <c r="O3265" s="31">
        <f>ROUND(PRODUCT(J3265:N3265),2)</f>
        <v>2</v>
      </c>
      <c r="P3265" s="185"/>
    </row>
    <row r="3266" spans="1:16" hidden="1" outlineLevel="1">
      <c r="A3266" s="2">
        <v>7</v>
      </c>
      <c r="B3266" s="2">
        <v>14</v>
      </c>
      <c r="C3266" s="2">
        <f>C3264+1</f>
        <v>39</v>
      </c>
      <c r="E3266" s="20" t="str">
        <f>CONCATENATE(A3266,".",B3266,".",C3266)</f>
        <v>7.14.39</v>
      </c>
      <c r="F3266" s="21" t="s">
        <v>4361</v>
      </c>
      <c r="G3266" s="22" t="s">
        <v>4362</v>
      </c>
      <c r="H3266" s="23" t="s">
        <v>4363</v>
      </c>
      <c r="I3266" s="24" t="s">
        <v>36</v>
      </c>
      <c r="J3266" s="32"/>
      <c r="K3266" s="10"/>
      <c r="L3266" s="32"/>
      <c r="M3266" s="10"/>
      <c r="N3266" s="33"/>
      <c r="O3266" s="11">
        <f>SUM(O3267)</f>
        <v>3</v>
      </c>
      <c r="P3266" s="185"/>
    </row>
    <row r="3267" spans="1:16" hidden="1" outlineLevel="2">
      <c r="E3267" s="59"/>
      <c r="F3267" s="60"/>
      <c r="G3267" s="34"/>
      <c r="H3267" s="30"/>
      <c r="I3267" s="35"/>
      <c r="J3267" s="41"/>
      <c r="K3267" s="10"/>
      <c r="L3267" s="32"/>
      <c r="M3267" s="10"/>
      <c r="N3267" s="33">
        <v>3</v>
      </c>
      <c r="O3267" s="31">
        <f>ROUND(PRODUCT(J3267:N3267),2)</f>
        <v>3</v>
      </c>
      <c r="P3267" s="185"/>
    </row>
    <row r="3268" spans="1:16" hidden="1" outlineLevel="1">
      <c r="A3268" s="2">
        <v>7</v>
      </c>
      <c r="B3268" s="2">
        <v>14</v>
      </c>
      <c r="C3268" s="2">
        <f>C3266+1</f>
        <v>40</v>
      </c>
      <c r="E3268" s="20" t="str">
        <f>CONCATENATE(A3268,".",B3268,".",C3268)</f>
        <v>7.14.40</v>
      </c>
      <c r="F3268" s="21" t="s">
        <v>4364</v>
      </c>
      <c r="G3268" s="22" t="s">
        <v>4365</v>
      </c>
      <c r="H3268" s="23" t="s">
        <v>4366</v>
      </c>
      <c r="I3268" s="24" t="s">
        <v>36</v>
      </c>
      <c r="J3268" s="32"/>
      <c r="K3268" s="10"/>
      <c r="L3268" s="32"/>
      <c r="M3268" s="10"/>
      <c r="N3268" s="33"/>
      <c r="O3268" s="11">
        <f>SUM(O3269)</f>
        <v>112</v>
      </c>
      <c r="P3268" s="185"/>
    </row>
    <row r="3269" spans="1:16" hidden="1" outlineLevel="2">
      <c r="E3269" s="59"/>
      <c r="F3269" s="60"/>
      <c r="G3269" s="34"/>
      <c r="H3269" s="30"/>
      <c r="I3269" s="35"/>
      <c r="J3269" s="41"/>
      <c r="K3269" s="10"/>
      <c r="L3269" s="32"/>
      <c r="M3269" s="10"/>
      <c r="N3269" s="33">
        <v>112</v>
      </c>
      <c r="O3269" s="31">
        <f>ROUND(PRODUCT(J3269:N3269),2)</f>
        <v>112</v>
      </c>
      <c r="P3269" s="185"/>
    </row>
    <row r="3270" spans="1:16" hidden="1" outlineLevel="1">
      <c r="A3270" s="2">
        <v>7</v>
      </c>
      <c r="B3270" s="2">
        <v>14</v>
      </c>
      <c r="C3270" s="2">
        <f>C3268+1</f>
        <v>41</v>
      </c>
      <c r="E3270" s="20" t="str">
        <f>CONCATENATE(A3270,".",B3270,".",C3270)</f>
        <v>7.14.41</v>
      </c>
      <c r="F3270" s="21" t="s">
        <v>4367</v>
      </c>
      <c r="G3270" s="22" t="s">
        <v>4368</v>
      </c>
      <c r="H3270" s="23" t="s">
        <v>4369</v>
      </c>
      <c r="I3270" s="24" t="s">
        <v>36</v>
      </c>
      <c r="J3270" s="32"/>
      <c r="K3270" s="10"/>
      <c r="L3270" s="32"/>
      <c r="M3270" s="10"/>
      <c r="N3270" s="33"/>
      <c r="O3270" s="11">
        <f>SUM(O3271)</f>
        <v>38</v>
      </c>
      <c r="P3270" s="185"/>
    </row>
    <row r="3271" spans="1:16" hidden="1" outlineLevel="2">
      <c r="E3271" s="59"/>
      <c r="F3271" s="60"/>
      <c r="G3271" s="34"/>
      <c r="H3271" s="30"/>
      <c r="I3271" s="35"/>
      <c r="J3271" s="41"/>
      <c r="K3271" s="10"/>
      <c r="L3271" s="32"/>
      <c r="M3271" s="10"/>
      <c r="N3271" s="33">
        <v>38</v>
      </c>
      <c r="O3271" s="31">
        <f>ROUND(PRODUCT(J3271:N3271),2)</f>
        <v>38</v>
      </c>
      <c r="P3271" s="185"/>
    </row>
    <row r="3272" spans="1:16" hidden="1" outlineLevel="1">
      <c r="A3272" s="2">
        <v>7</v>
      </c>
      <c r="B3272" s="2">
        <v>14</v>
      </c>
      <c r="C3272" s="2">
        <f>C3270+1</f>
        <v>42</v>
      </c>
      <c r="E3272" s="20" t="str">
        <f>CONCATENATE(A3272,".",B3272,".",C3272)</f>
        <v>7.14.42</v>
      </c>
      <c r="F3272" s="21" t="s">
        <v>4370</v>
      </c>
      <c r="G3272" s="22" t="s">
        <v>4371</v>
      </c>
      <c r="H3272" s="23" t="s">
        <v>4372</v>
      </c>
      <c r="I3272" s="24" t="s">
        <v>36</v>
      </c>
      <c r="J3272" s="32"/>
      <c r="K3272" s="10"/>
      <c r="L3272" s="32"/>
      <c r="M3272" s="10"/>
      <c r="N3272" s="33"/>
      <c r="O3272" s="11">
        <f>SUM(O3273)</f>
        <v>1</v>
      </c>
      <c r="P3272" s="185"/>
    </row>
    <row r="3273" spans="1:16" hidden="1" outlineLevel="2">
      <c r="E3273" s="59"/>
      <c r="F3273" s="60"/>
      <c r="G3273" s="34"/>
      <c r="H3273" s="30"/>
      <c r="I3273" s="35"/>
      <c r="J3273" s="41"/>
      <c r="K3273" s="10"/>
      <c r="L3273" s="32"/>
      <c r="M3273" s="10"/>
      <c r="N3273" s="33">
        <v>1</v>
      </c>
      <c r="O3273" s="31">
        <f>ROUND(PRODUCT(J3273:N3273),2)</f>
        <v>1</v>
      </c>
      <c r="P3273" s="185"/>
    </row>
    <row r="3274" spans="1:16" hidden="1" outlineLevel="1">
      <c r="A3274" s="2">
        <v>7</v>
      </c>
      <c r="B3274" s="2">
        <v>14</v>
      </c>
      <c r="C3274" s="2">
        <f>C3272+1</f>
        <v>43</v>
      </c>
      <c r="E3274" s="20" t="str">
        <f>CONCATENATE(A3274,".",B3274,".",C3274)</f>
        <v>7.14.43</v>
      </c>
      <c r="F3274" s="21" t="s">
        <v>4373</v>
      </c>
      <c r="G3274" s="22" t="s">
        <v>4374</v>
      </c>
      <c r="H3274" s="23" t="s">
        <v>4375</v>
      </c>
      <c r="I3274" s="24" t="s">
        <v>36</v>
      </c>
      <c r="J3274" s="32"/>
      <c r="K3274" s="10"/>
      <c r="L3274" s="32"/>
      <c r="M3274" s="10"/>
      <c r="N3274" s="33"/>
      <c r="O3274" s="11">
        <f>SUM(O3275)</f>
        <v>2</v>
      </c>
      <c r="P3274" s="185"/>
    </row>
    <row r="3275" spans="1:16" hidden="1" outlineLevel="2">
      <c r="E3275" s="59"/>
      <c r="F3275" s="60"/>
      <c r="G3275" s="34"/>
      <c r="H3275" s="30"/>
      <c r="I3275" s="35"/>
      <c r="J3275" s="41"/>
      <c r="K3275" s="10"/>
      <c r="L3275" s="32"/>
      <c r="M3275" s="10"/>
      <c r="N3275" s="33">
        <v>2</v>
      </c>
      <c r="O3275" s="31">
        <f>ROUND(PRODUCT(J3275:N3275),2)</f>
        <v>2</v>
      </c>
      <c r="P3275" s="185"/>
    </row>
    <row r="3276" spans="1:16" hidden="1" outlineLevel="1">
      <c r="A3276" s="2">
        <v>7</v>
      </c>
      <c r="B3276" s="2">
        <v>14</v>
      </c>
      <c r="C3276" s="2">
        <f>C3274+1</f>
        <v>44</v>
      </c>
      <c r="E3276" s="20" t="str">
        <f>CONCATENATE(A3276,".",B3276,".",C3276)</f>
        <v>7.14.44</v>
      </c>
      <c r="F3276" s="21" t="s">
        <v>4376</v>
      </c>
      <c r="G3276" s="22" t="s">
        <v>4377</v>
      </c>
      <c r="H3276" s="23" t="s">
        <v>3506</v>
      </c>
      <c r="I3276" s="24" t="s">
        <v>36</v>
      </c>
      <c r="J3276" s="32"/>
      <c r="K3276" s="10"/>
      <c r="L3276" s="32"/>
      <c r="M3276" s="10"/>
      <c r="N3276" s="33"/>
      <c r="O3276" s="11">
        <f>SUM(O3277)</f>
        <v>1</v>
      </c>
      <c r="P3276" s="185"/>
    </row>
    <row r="3277" spans="1:16" hidden="1" outlineLevel="2">
      <c r="E3277" s="59"/>
      <c r="F3277" s="60"/>
      <c r="G3277" s="34"/>
      <c r="H3277" s="30"/>
      <c r="I3277" s="35"/>
      <c r="J3277" s="41"/>
      <c r="K3277" s="10"/>
      <c r="L3277" s="32"/>
      <c r="M3277" s="10"/>
      <c r="N3277" s="33">
        <v>1</v>
      </c>
      <c r="O3277" s="31">
        <f>ROUND(PRODUCT(J3277:N3277),2)</f>
        <v>1</v>
      </c>
      <c r="P3277" s="185"/>
    </row>
    <row r="3278" spans="1:16" hidden="1" outlineLevel="1">
      <c r="A3278" s="2">
        <v>7</v>
      </c>
      <c r="B3278" s="2">
        <v>14</v>
      </c>
      <c r="C3278" s="2">
        <f>C3276+1</f>
        <v>45</v>
      </c>
      <c r="E3278" s="20" t="str">
        <f>CONCATENATE(A3278,".",B3278,".",C3278)</f>
        <v>7.14.45</v>
      </c>
      <c r="F3278" s="21" t="s">
        <v>4378</v>
      </c>
      <c r="G3278" s="22" t="s">
        <v>4379</v>
      </c>
      <c r="H3278" s="23" t="s">
        <v>3467</v>
      </c>
      <c r="I3278" s="24" t="s">
        <v>36</v>
      </c>
      <c r="J3278" s="32"/>
      <c r="K3278" s="10"/>
      <c r="L3278" s="32"/>
      <c r="M3278" s="10"/>
      <c r="N3278" s="33"/>
      <c r="O3278" s="11">
        <f>SUM(O3279)</f>
        <v>72.349999999999994</v>
      </c>
      <c r="P3278" s="185"/>
    </row>
    <row r="3279" spans="1:16" hidden="1" outlineLevel="2">
      <c r="E3279" s="59"/>
      <c r="F3279" s="60"/>
      <c r="G3279" s="34"/>
      <c r="H3279" s="30"/>
      <c r="I3279" s="35"/>
      <c r="J3279" s="41"/>
      <c r="K3279" s="10"/>
      <c r="L3279" s="32"/>
      <c r="M3279" s="10"/>
      <c r="N3279" s="33">
        <v>72.349999999999994</v>
      </c>
      <c r="O3279" s="31">
        <f>ROUND(PRODUCT(J3279:N3279),2)</f>
        <v>72.349999999999994</v>
      </c>
      <c r="P3279" s="185"/>
    </row>
    <row r="3280" spans="1:16" hidden="1" outlineLevel="1">
      <c r="A3280" s="2">
        <v>7</v>
      </c>
      <c r="B3280" s="2">
        <v>14</v>
      </c>
      <c r="C3280" s="2">
        <f>C3278+1</f>
        <v>46</v>
      </c>
      <c r="E3280" s="20" t="str">
        <f>CONCATENATE(A3280,".",B3280,".",C3280)</f>
        <v>7.14.46</v>
      </c>
      <c r="F3280" s="21" t="s">
        <v>4380</v>
      </c>
      <c r="G3280" s="22" t="s">
        <v>4381</v>
      </c>
      <c r="H3280" s="23" t="s">
        <v>4382</v>
      </c>
      <c r="I3280" s="24" t="s">
        <v>36</v>
      </c>
      <c r="J3280" s="32"/>
      <c r="K3280" s="10"/>
      <c r="L3280" s="32"/>
      <c r="M3280" s="10"/>
      <c r="N3280" s="33"/>
      <c r="O3280" s="11">
        <f>SUM(O3281)</f>
        <v>2</v>
      </c>
      <c r="P3280" s="185"/>
    </row>
    <row r="3281" spans="1:16" hidden="1" outlineLevel="2">
      <c r="E3281" s="59"/>
      <c r="F3281" s="60"/>
      <c r="G3281" s="34"/>
      <c r="H3281" s="30"/>
      <c r="I3281" s="35"/>
      <c r="J3281" s="41"/>
      <c r="K3281" s="10"/>
      <c r="L3281" s="32"/>
      <c r="M3281" s="10"/>
      <c r="N3281" s="33">
        <v>2</v>
      </c>
      <c r="O3281" s="31">
        <f>ROUND(PRODUCT(J3281:N3281),2)</f>
        <v>2</v>
      </c>
      <c r="P3281" s="185"/>
    </row>
    <row r="3282" spans="1:16" hidden="1" outlineLevel="1">
      <c r="A3282" s="2">
        <v>7</v>
      </c>
      <c r="B3282" s="2">
        <v>14</v>
      </c>
      <c r="C3282" s="2">
        <f>C3280+1</f>
        <v>47</v>
      </c>
      <c r="E3282" s="20" t="str">
        <f>CONCATENATE(A3282,".",B3282,".",C3282)</f>
        <v>7.14.47</v>
      </c>
      <c r="F3282" s="21" t="s">
        <v>4383</v>
      </c>
      <c r="G3282" s="22" t="s">
        <v>4384</v>
      </c>
      <c r="H3282" s="23" t="s">
        <v>4385</v>
      </c>
      <c r="I3282" s="24" t="s">
        <v>36</v>
      </c>
      <c r="J3282" s="32"/>
      <c r="K3282" s="10"/>
      <c r="L3282" s="32"/>
      <c r="M3282" s="10"/>
      <c r="N3282" s="33"/>
      <c r="O3282" s="11">
        <f>SUM(O3283)</f>
        <v>93</v>
      </c>
      <c r="P3282" s="185"/>
    </row>
    <row r="3283" spans="1:16" hidden="1" outlineLevel="2">
      <c r="E3283" s="59"/>
      <c r="F3283" s="60"/>
      <c r="G3283" s="34"/>
      <c r="H3283" s="30"/>
      <c r="I3283" s="35"/>
      <c r="J3283" s="41"/>
      <c r="K3283" s="10"/>
      <c r="L3283" s="32"/>
      <c r="M3283" s="10"/>
      <c r="N3283" s="33">
        <v>93</v>
      </c>
      <c r="O3283" s="31">
        <f>ROUND(PRODUCT(J3283:N3283),2)</f>
        <v>93</v>
      </c>
      <c r="P3283" s="185"/>
    </row>
    <row r="3284" spans="1:16" hidden="1" outlineLevel="1">
      <c r="A3284" s="2">
        <v>7</v>
      </c>
      <c r="B3284" s="2">
        <v>14</v>
      </c>
      <c r="C3284" s="2">
        <f>C3282+1</f>
        <v>48</v>
      </c>
      <c r="E3284" s="20" t="str">
        <f>CONCATENATE(A3284,".",B3284,".",C3284)</f>
        <v>7.14.48</v>
      </c>
      <c r="F3284" s="21" t="s">
        <v>4386</v>
      </c>
      <c r="G3284" s="22" t="s">
        <v>4387</v>
      </c>
      <c r="H3284" s="23" t="s">
        <v>3470</v>
      </c>
      <c r="I3284" s="24" t="s">
        <v>36</v>
      </c>
      <c r="J3284" s="32"/>
      <c r="K3284" s="10"/>
      <c r="L3284" s="32"/>
      <c r="M3284" s="10"/>
      <c r="N3284" s="33"/>
      <c r="O3284" s="11">
        <f>SUM(O3285)</f>
        <v>62</v>
      </c>
      <c r="P3284" s="185"/>
    </row>
    <row r="3285" spans="1:16" hidden="1" outlineLevel="2">
      <c r="E3285" s="59"/>
      <c r="F3285" s="60"/>
      <c r="G3285" s="34"/>
      <c r="H3285" s="30"/>
      <c r="I3285" s="35"/>
      <c r="J3285" s="41"/>
      <c r="K3285" s="10"/>
      <c r="L3285" s="32"/>
      <c r="M3285" s="10"/>
      <c r="N3285" s="33">
        <v>62</v>
      </c>
      <c r="O3285" s="31">
        <f>ROUND(PRODUCT(J3285:N3285),2)</f>
        <v>62</v>
      </c>
      <c r="P3285" s="185"/>
    </row>
    <row r="3286" spans="1:16" hidden="1" outlineLevel="1">
      <c r="A3286" s="2">
        <v>7</v>
      </c>
      <c r="B3286" s="2">
        <v>14</v>
      </c>
      <c r="C3286" s="2">
        <f>C3284+1</f>
        <v>49</v>
      </c>
      <c r="E3286" s="20" t="str">
        <f>CONCATENATE(A3286,".",B3286,".",C3286)</f>
        <v>7.14.49</v>
      </c>
      <c r="F3286" s="21" t="s">
        <v>4388</v>
      </c>
      <c r="G3286" s="22" t="s">
        <v>4389</v>
      </c>
      <c r="H3286" s="23" t="s">
        <v>3403</v>
      </c>
      <c r="I3286" s="24" t="s">
        <v>36</v>
      </c>
      <c r="J3286" s="32"/>
      <c r="K3286" s="10"/>
      <c r="L3286" s="32"/>
      <c r="M3286" s="10"/>
      <c r="N3286" s="33"/>
      <c r="O3286" s="11">
        <f>SUM(O3287)</f>
        <v>140</v>
      </c>
      <c r="P3286" s="185"/>
    </row>
    <row r="3287" spans="1:16" hidden="1" outlineLevel="2">
      <c r="E3287" s="59"/>
      <c r="F3287" s="60"/>
      <c r="G3287" s="34"/>
      <c r="H3287" s="30"/>
      <c r="I3287" s="35"/>
      <c r="J3287" s="41"/>
      <c r="K3287" s="10"/>
      <c r="L3287" s="32"/>
      <c r="M3287" s="10"/>
      <c r="N3287" s="33">
        <f>110+30</f>
        <v>140</v>
      </c>
      <c r="O3287" s="31">
        <f>ROUND(PRODUCT(J3287:N3287),2)</f>
        <v>140</v>
      </c>
      <c r="P3287" s="185"/>
    </row>
    <row r="3288" spans="1:16" hidden="1" outlineLevel="1">
      <c r="A3288" s="2">
        <v>7</v>
      </c>
      <c r="B3288" s="2">
        <v>14</v>
      </c>
      <c r="C3288" s="2">
        <f>C3286+1</f>
        <v>50</v>
      </c>
      <c r="E3288" s="20" t="str">
        <f>CONCATENATE(A3288,".",B3288,".",C3288)</f>
        <v>7.14.50</v>
      </c>
      <c r="F3288" s="21" t="s">
        <v>4390</v>
      </c>
      <c r="G3288" s="22" t="s">
        <v>4010</v>
      </c>
      <c r="H3288" s="23" t="s">
        <v>3494</v>
      </c>
      <c r="I3288" s="24" t="s">
        <v>36</v>
      </c>
      <c r="J3288" s="32"/>
      <c r="K3288" s="10"/>
      <c r="L3288" s="32"/>
      <c r="M3288" s="10"/>
      <c r="N3288" s="33"/>
      <c r="O3288" s="11">
        <f>SUM(O3289)</f>
        <v>22</v>
      </c>
      <c r="P3288" s="185"/>
    </row>
    <row r="3289" spans="1:16" hidden="1" outlineLevel="2">
      <c r="E3289" s="59"/>
      <c r="F3289" s="60"/>
      <c r="G3289" s="34"/>
      <c r="H3289" s="30"/>
      <c r="I3289" s="35"/>
      <c r="J3289" s="41"/>
      <c r="K3289" s="10"/>
      <c r="L3289" s="32"/>
      <c r="M3289" s="10"/>
      <c r="N3289" s="33">
        <v>22</v>
      </c>
      <c r="O3289" s="31">
        <f>ROUND(PRODUCT(J3289:N3289),2)</f>
        <v>22</v>
      </c>
    </row>
    <row r="3290" spans="1:16" ht="45" hidden="1" outlineLevel="1">
      <c r="A3290" s="2">
        <v>7</v>
      </c>
      <c r="B3290" s="2">
        <v>14</v>
      </c>
      <c r="C3290" s="2">
        <f>C3288+1</f>
        <v>51</v>
      </c>
      <c r="E3290" s="20" t="str">
        <f>CONCATENATE(A3290,".",B3290,".",C3290)</f>
        <v>7.14.51</v>
      </c>
      <c r="F3290" s="21" t="s">
        <v>4391</v>
      </c>
      <c r="G3290" s="22" t="s">
        <v>4392</v>
      </c>
      <c r="H3290" s="23" t="s">
        <v>4393</v>
      </c>
      <c r="I3290" s="24" t="s">
        <v>36</v>
      </c>
      <c r="J3290" s="32"/>
      <c r="K3290" s="10"/>
      <c r="L3290" s="32"/>
      <c r="M3290" s="10"/>
      <c r="N3290" s="33"/>
      <c r="O3290" s="11">
        <f>SUM(O3291)</f>
        <v>4</v>
      </c>
      <c r="P3290" s="185"/>
    </row>
    <row r="3291" spans="1:16" hidden="1" outlineLevel="2">
      <c r="E3291" s="59"/>
      <c r="F3291" s="60"/>
      <c r="G3291" s="34"/>
      <c r="H3291" s="30"/>
      <c r="I3291" s="35"/>
      <c r="J3291" s="41"/>
      <c r="K3291" s="10"/>
      <c r="L3291" s="32"/>
      <c r="M3291" s="10"/>
      <c r="N3291" s="33">
        <v>4</v>
      </c>
      <c r="O3291" s="31">
        <f>ROUND(PRODUCT(J3291:N3291),2)</f>
        <v>4</v>
      </c>
      <c r="P3291" s="185"/>
    </row>
    <row r="3292" spans="1:16" hidden="1" outlineLevel="1">
      <c r="A3292" s="2">
        <v>7</v>
      </c>
      <c r="B3292" s="2">
        <v>14</v>
      </c>
      <c r="C3292" s="2">
        <f>C3290+1</f>
        <v>52</v>
      </c>
      <c r="E3292" s="20" t="str">
        <f>CONCATENATE(A3292,".",B3292,".",C3292)</f>
        <v>7.14.52</v>
      </c>
      <c r="F3292" s="21" t="s">
        <v>4394</v>
      </c>
      <c r="G3292" s="22">
        <v>98270</v>
      </c>
      <c r="H3292" s="23" t="s">
        <v>4395</v>
      </c>
      <c r="I3292" s="24" t="s">
        <v>144</v>
      </c>
      <c r="J3292" s="32"/>
      <c r="K3292" s="10"/>
      <c r="L3292" s="32"/>
      <c r="M3292" s="10"/>
      <c r="N3292" s="33"/>
      <c r="O3292" s="11">
        <f>SUM(O3293)</f>
        <v>30</v>
      </c>
      <c r="P3292" s="185"/>
    </row>
    <row r="3293" spans="1:16" hidden="1" outlineLevel="2">
      <c r="E3293" s="59"/>
      <c r="F3293" s="60"/>
      <c r="G3293" s="34"/>
      <c r="H3293" s="30"/>
      <c r="I3293" s="35"/>
      <c r="J3293" s="41"/>
      <c r="K3293" s="10"/>
      <c r="L3293" s="32"/>
      <c r="M3293" s="10"/>
      <c r="N3293" s="33">
        <v>30</v>
      </c>
      <c r="O3293" s="31">
        <f>ROUND(PRODUCT(J3293:N3293),2)</f>
        <v>30</v>
      </c>
      <c r="P3293" s="185"/>
    </row>
    <row r="3294" spans="1:16" hidden="1" outlineLevel="1">
      <c r="A3294" s="2">
        <v>7</v>
      </c>
      <c r="B3294" s="2">
        <v>14</v>
      </c>
      <c r="C3294" s="2">
        <f>C3292+1</f>
        <v>53</v>
      </c>
      <c r="E3294" s="20" t="str">
        <f>CONCATENATE(A3294,".",B3294,".",C3294)</f>
        <v>7.14.53</v>
      </c>
      <c r="F3294" s="21" t="s">
        <v>4396</v>
      </c>
      <c r="G3294" s="22" t="s">
        <v>4397</v>
      </c>
      <c r="H3294" s="23" t="s">
        <v>4398</v>
      </c>
      <c r="I3294" s="24" t="s">
        <v>36</v>
      </c>
      <c r="J3294" s="32"/>
      <c r="K3294" s="10"/>
      <c r="L3294" s="32"/>
      <c r="M3294" s="10"/>
      <c r="N3294" s="33"/>
      <c r="O3294" s="11">
        <f>SUM(O3295)</f>
        <v>2</v>
      </c>
      <c r="P3294" s="185"/>
    </row>
    <row r="3295" spans="1:16" hidden="1" outlineLevel="2">
      <c r="E3295" s="59"/>
      <c r="F3295" s="60"/>
      <c r="G3295" s="34"/>
      <c r="H3295" s="30"/>
      <c r="I3295" s="35"/>
      <c r="J3295" s="41"/>
      <c r="K3295" s="10"/>
      <c r="L3295" s="32"/>
      <c r="M3295" s="10"/>
      <c r="N3295" s="33">
        <v>2</v>
      </c>
      <c r="O3295" s="31">
        <f>ROUND(PRODUCT(J3295:N3295),2)</f>
        <v>2</v>
      </c>
      <c r="P3295" s="185"/>
    </row>
    <row r="3296" spans="1:16" hidden="1" outlineLevel="1">
      <c r="A3296" s="2">
        <v>7</v>
      </c>
      <c r="B3296" s="2">
        <v>14</v>
      </c>
      <c r="C3296" s="2">
        <f>C3294+1</f>
        <v>54</v>
      </c>
      <c r="E3296" s="20" t="str">
        <f>CONCATENATE(A3296,".",B3296,".",C3296)</f>
        <v>7.14.54</v>
      </c>
      <c r="F3296" s="21" t="s">
        <v>4399</v>
      </c>
      <c r="G3296" s="22" t="s">
        <v>3508</v>
      </c>
      <c r="H3296" s="23" t="s">
        <v>4400</v>
      </c>
      <c r="I3296" s="24" t="s">
        <v>36</v>
      </c>
      <c r="J3296" s="32"/>
      <c r="K3296" s="10"/>
      <c r="L3296" s="32"/>
      <c r="M3296" s="10"/>
      <c r="N3296" s="33"/>
      <c r="O3296" s="11">
        <f>SUM(O3297)</f>
        <v>1</v>
      </c>
      <c r="P3296" s="185"/>
    </row>
    <row r="3297" spans="1:16" hidden="1" outlineLevel="2">
      <c r="E3297" s="59"/>
      <c r="F3297" s="60"/>
      <c r="G3297" s="34"/>
      <c r="H3297" s="30"/>
      <c r="I3297" s="35"/>
      <c r="J3297" s="41"/>
      <c r="K3297" s="10"/>
      <c r="L3297" s="32"/>
      <c r="M3297" s="10"/>
      <c r="N3297" s="33">
        <v>1</v>
      </c>
      <c r="O3297" s="31">
        <f>ROUND(PRODUCT(J3297:N3297),2)</f>
        <v>1</v>
      </c>
      <c r="P3297" s="185"/>
    </row>
    <row r="3298" spans="1:16" hidden="1" outlineLevel="1">
      <c r="A3298" s="2">
        <v>7</v>
      </c>
      <c r="B3298" s="2">
        <v>14</v>
      </c>
      <c r="C3298" s="2">
        <f>C3296+1</f>
        <v>55</v>
      </c>
      <c r="E3298" s="20" t="str">
        <f>CONCATENATE(A3298,".",B3298,".",C3298)</f>
        <v>7.14.55</v>
      </c>
      <c r="F3298" s="21" t="s">
        <v>4401</v>
      </c>
      <c r="G3298" s="22" t="s">
        <v>4402</v>
      </c>
      <c r="H3298" s="23" t="s">
        <v>4403</v>
      </c>
      <c r="I3298" s="24" t="s">
        <v>36</v>
      </c>
      <c r="J3298" s="32"/>
      <c r="K3298" s="10"/>
      <c r="L3298" s="32"/>
      <c r="M3298" s="10"/>
      <c r="N3298" s="33"/>
      <c r="O3298" s="11">
        <f>SUM(O3299)</f>
        <v>5</v>
      </c>
      <c r="P3298" s="185"/>
    </row>
    <row r="3299" spans="1:16" hidden="1" outlineLevel="2">
      <c r="E3299" s="59"/>
      <c r="F3299" s="60"/>
      <c r="G3299" s="34"/>
      <c r="H3299" s="30"/>
      <c r="I3299" s="35"/>
      <c r="J3299" s="41"/>
      <c r="K3299" s="10"/>
      <c r="L3299" s="32"/>
      <c r="M3299" s="10"/>
      <c r="N3299" s="33">
        <v>5</v>
      </c>
      <c r="O3299" s="31">
        <f>ROUND(PRODUCT(J3299:N3299),2)</f>
        <v>5</v>
      </c>
      <c r="P3299" s="185"/>
    </row>
    <row r="3300" spans="1:16" hidden="1" outlineLevel="1">
      <c r="A3300" s="2">
        <v>7</v>
      </c>
      <c r="B3300" s="2">
        <v>14</v>
      </c>
      <c r="C3300" s="2">
        <f>C3298+1</f>
        <v>56</v>
      </c>
      <c r="E3300" s="20" t="str">
        <f>CONCATENATE(A3300,".",B3300,".",C3300)</f>
        <v>7.14.56</v>
      </c>
      <c r="F3300" s="21" t="s">
        <v>4404</v>
      </c>
      <c r="G3300" s="22" t="s">
        <v>3515</v>
      </c>
      <c r="H3300" s="23" t="s">
        <v>3516</v>
      </c>
      <c r="I3300" s="24" t="s">
        <v>36</v>
      </c>
      <c r="J3300" s="32"/>
      <c r="K3300" s="10"/>
      <c r="L3300" s="32"/>
      <c r="M3300" s="10"/>
      <c r="N3300" s="33"/>
      <c r="O3300" s="11">
        <f>SUM(O3301)</f>
        <v>30</v>
      </c>
      <c r="P3300" s="185"/>
    </row>
    <row r="3301" spans="1:16" hidden="1" outlineLevel="2">
      <c r="E3301" s="59"/>
      <c r="F3301" s="60"/>
      <c r="G3301" s="34"/>
      <c r="H3301" s="30"/>
      <c r="I3301" s="35"/>
      <c r="J3301" s="41"/>
      <c r="K3301" s="10"/>
      <c r="L3301" s="32"/>
      <c r="M3301" s="10"/>
      <c r="N3301" s="33">
        <v>30</v>
      </c>
      <c r="O3301" s="31">
        <f>ROUND(PRODUCT(J3301:N3301),2)</f>
        <v>30</v>
      </c>
      <c r="P3301" s="185"/>
    </row>
    <row r="3302" spans="1:16" hidden="1" outlineLevel="1">
      <c r="A3302" s="2">
        <v>7</v>
      </c>
      <c r="B3302" s="2">
        <v>14</v>
      </c>
      <c r="C3302" s="2">
        <f>C3300+1</f>
        <v>57</v>
      </c>
      <c r="E3302" s="20" t="str">
        <f>CONCATENATE(A3302,".",B3302,".",C3302)</f>
        <v>7.14.57</v>
      </c>
      <c r="F3302" s="21" t="s">
        <v>4405</v>
      </c>
      <c r="G3302" s="22" t="s">
        <v>4406</v>
      </c>
      <c r="H3302" s="23" t="s">
        <v>4407</v>
      </c>
      <c r="I3302" s="24" t="s">
        <v>36</v>
      </c>
      <c r="J3302" s="32"/>
      <c r="K3302" s="10"/>
      <c r="L3302" s="32"/>
      <c r="M3302" s="10"/>
      <c r="N3302" s="33"/>
      <c r="O3302" s="11">
        <f>SUM(O3303)</f>
        <v>3</v>
      </c>
      <c r="P3302" s="185"/>
    </row>
    <row r="3303" spans="1:16" hidden="1" outlineLevel="2">
      <c r="E3303" s="59"/>
      <c r="F3303" s="60"/>
      <c r="G3303" s="34"/>
      <c r="H3303" s="30"/>
      <c r="I3303" s="35"/>
      <c r="J3303" s="41"/>
      <c r="K3303" s="10"/>
      <c r="L3303" s="32"/>
      <c r="M3303" s="10"/>
      <c r="N3303" s="33">
        <v>3</v>
      </c>
      <c r="O3303" s="31">
        <f>ROUND(PRODUCT(J3303:N3303),2)</f>
        <v>3</v>
      </c>
      <c r="P3303" s="185"/>
    </row>
    <row r="3304" spans="1:16" hidden="1" outlineLevel="1">
      <c r="A3304" s="2">
        <v>7</v>
      </c>
      <c r="B3304" s="2">
        <v>14</v>
      </c>
      <c r="C3304" s="2">
        <f>C3302+1</f>
        <v>58</v>
      </c>
      <c r="E3304" s="20" t="str">
        <f>CONCATENATE(A3304,".",B3304,".",C3304)</f>
        <v>7.14.58</v>
      </c>
      <c r="F3304" s="21" t="s">
        <v>4408</v>
      </c>
      <c r="G3304" s="22" t="s">
        <v>4409</v>
      </c>
      <c r="H3304" s="23" t="s">
        <v>4410</v>
      </c>
      <c r="I3304" s="24" t="s">
        <v>36</v>
      </c>
      <c r="J3304" s="32"/>
      <c r="K3304" s="10"/>
      <c r="L3304" s="32"/>
      <c r="M3304" s="10"/>
      <c r="N3304" s="33"/>
      <c r="O3304" s="11">
        <f>SUM(O3305)</f>
        <v>1</v>
      </c>
      <c r="P3304" s="185"/>
    </row>
    <row r="3305" spans="1:16" hidden="1" outlineLevel="2">
      <c r="E3305" s="59"/>
      <c r="F3305" s="60"/>
      <c r="G3305" s="34"/>
      <c r="H3305" s="30"/>
      <c r="I3305" s="35"/>
      <c r="J3305" s="41"/>
      <c r="K3305" s="10"/>
      <c r="L3305" s="32"/>
      <c r="M3305" s="10"/>
      <c r="N3305" s="33">
        <v>1</v>
      </c>
      <c r="O3305" s="31">
        <f>ROUND(PRODUCT(J3305:N3305),2)</f>
        <v>1</v>
      </c>
      <c r="P3305" s="185"/>
    </row>
    <row r="3306" spans="1:16" collapsed="1">
      <c r="A3306" s="2">
        <v>7</v>
      </c>
      <c r="B3306" s="2">
        <v>16</v>
      </c>
      <c r="E3306" s="42" t="str">
        <f>CONCATENATE(A3306,".",B3306)</f>
        <v>7.16</v>
      </c>
      <c r="F3306" s="45" t="s">
        <v>4411</v>
      </c>
      <c r="G3306" s="13"/>
      <c r="H3306" s="14" t="s">
        <v>876</v>
      </c>
      <c r="I3306" s="15"/>
      <c r="J3306" s="16"/>
      <c r="K3306" s="17"/>
      <c r="L3306" s="16"/>
      <c r="M3306" s="17"/>
      <c r="N3306" s="18"/>
      <c r="O3306" s="19"/>
      <c r="P3306" s="185" t="s">
        <v>3310</v>
      </c>
    </row>
    <row r="3307" spans="1:16" ht="30" hidden="1" outlineLevel="1">
      <c r="A3307" s="2">
        <v>7</v>
      </c>
      <c r="B3307" s="2">
        <v>16</v>
      </c>
      <c r="C3307" s="2">
        <v>1</v>
      </c>
      <c r="E3307" s="20" t="str">
        <f>CONCATENATE(A3307,".",B3307,".",C3307)</f>
        <v>7.16.1</v>
      </c>
      <c r="F3307" s="21" t="s">
        <v>4412</v>
      </c>
      <c r="G3307" s="22">
        <v>103262</v>
      </c>
      <c r="H3307" s="23" t="s">
        <v>3538</v>
      </c>
      <c r="I3307" s="24" t="s">
        <v>36</v>
      </c>
      <c r="J3307" s="32"/>
      <c r="K3307" s="10"/>
      <c r="L3307" s="32"/>
      <c r="M3307" s="10"/>
      <c r="N3307" s="33"/>
      <c r="O3307" s="11">
        <f>SUM(O3308)</f>
        <v>12</v>
      </c>
      <c r="P3307" s="185"/>
    </row>
    <row r="3308" spans="1:16" hidden="1" outlineLevel="2">
      <c r="E3308" s="59"/>
      <c r="F3308" s="60"/>
      <c r="G3308" s="34"/>
      <c r="H3308" s="30"/>
      <c r="I3308" s="35"/>
      <c r="J3308" s="41"/>
      <c r="K3308" s="10"/>
      <c r="L3308" s="32"/>
      <c r="M3308" s="10"/>
      <c r="N3308" s="33">
        <v>12</v>
      </c>
      <c r="O3308" s="31">
        <f>ROUND(PRODUCT(J3308:N3308),2)</f>
        <v>12</v>
      </c>
      <c r="P3308" s="185"/>
    </row>
    <row r="3309" spans="1:16" hidden="1" outlineLevel="1">
      <c r="A3309" s="2">
        <v>7</v>
      </c>
      <c r="B3309" s="2">
        <v>16</v>
      </c>
      <c r="C3309" s="2" t="e">
        <f>#REF!+1</f>
        <v>#REF!</v>
      </c>
      <c r="E3309" s="20" t="e">
        <f>CONCATENATE(A3309,".",B3309,".",C3309)</f>
        <v>#REF!</v>
      </c>
      <c r="F3309" s="21" t="s">
        <v>4413</v>
      </c>
      <c r="G3309" s="22"/>
      <c r="H3309" s="23"/>
      <c r="I3309" s="24" t="s">
        <v>36</v>
      </c>
      <c r="J3309" s="32"/>
      <c r="K3309" s="10"/>
      <c r="L3309" s="32"/>
      <c r="M3309" s="10"/>
      <c r="N3309" s="33"/>
      <c r="O3309" s="11">
        <f>SUM(O3310)</f>
        <v>6</v>
      </c>
      <c r="P3309" s="185"/>
    </row>
    <row r="3310" spans="1:16" hidden="1" outlineLevel="2">
      <c r="E3310" s="59"/>
      <c r="F3310" s="60"/>
      <c r="G3310" s="34"/>
      <c r="H3310" s="30"/>
      <c r="I3310" s="35"/>
      <c r="J3310" s="41"/>
      <c r="K3310" s="10"/>
      <c r="L3310" s="32"/>
      <c r="M3310" s="10"/>
      <c r="N3310" s="33">
        <v>6</v>
      </c>
      <c r="O3310" s="31">
        <f>ROUND(PRODUCT(J3310:N3310),2)</f>
        <v>6</v>
      </c>
      <c r="P3310" s="185"/>
    </row>
    <row r="3311" spans="1:16" ht="30" hidden="1" outlineLevel="1">
      <c r="A3311" s="2">
        <v>7</v>
      </c>
      <c r="B3311" s="2">
        <v>16</v>
      </c>
      <c r="C3311" s="2" t="e">
        <f>C3309+1</f>
        <v>#REF!</v>
      </c>
      <c r="E3311" s="20" t="e">
        <f>CONCATENATE(A3311,".",B3311,".",C3311)</f>
        <v>#REF!</v>
      </c>
      <c r="F3311" s="21" t="s">
        <v>4414</v>
      </c>
      <c r="G3311" s="22">
        <v>103290</v>
      </c>
      <c r="H3311" s="23" t="s">
        <v>900</v>
      </c>
      <c r="I3311" s="24" t="s">
        <v>36</v>
      </c>
      <c r="J3311" s="32"/>
      <c r="K3311" s="10"/>
      <c r="L3311" s="32"/>
      <c r="M3311" s="10"/>
      <c r="N3311" s="33"/>
      <c r="O3311" s="11">
        <f>SUM(O3312)</f>
        <v>182</v>
      </c>
      <c r="P3311" s="185"/>
    </row>
    <row r="3312" spans="1:16" hidden="1" outlineLevel="2">
      <c r="E3312" s="59"/>
      <c r="F3312" s="60"/>
      <c r="G3312" s="34"/>
      <c r="H3312" s="30"/>
      <c r="I3312" s="35"/>
      <c r="J3312" s="41"/>
      <c r="K3312" s="10"/>
      <c r="L3312" s="32"/>
      <c r="M3312" s="10"/>
      <c r="N3312" s="33">
        <v>182</v>
      </c>
      <c r="O3312" s="31">
        <f>ROUND(PRODUCT(J3312:N3312),2)</f>
        <v>182</v>
      </c>
      <c r="P3312" s="185"/>
    </row>
    <row r="3313" spans="1:16" ht="30" hidden="1" outlineLevel="1">
      <c r="A3313" s="2">
        <v>7</v>
      </c>
      <c r="B3313" s="2">
        <v>16</v>
      </c>
      <c r="C3313" s="2" t="e">
        <f>#REF!+1</f>
        <v>#REF!</v>
      </c>
      <c r="E3313" s="20" t="e">
        <f>CONCATENATE(A3313,".",B3313,".",C3313)</f>
        <v>#REF!</v>
      </c>
      <c r="F3313" s="21" t="s">
        <v>4415</v>
      </c>
      <c r="G3313" s="22">
        <v>92282</v>
      </c>
      <c r="H3313" s="23" t="s">
        <v>3550</v>
      </c>
      <c r="I3313" s="24" t="s">
        <v>144</v>
      </c>
      <c r="J3313" s="32"/>
      <c r="K3313" s="10"/>
      <c r="L3313" s="32"/>
      <c r="M3313" s="10"/>
      <c r="N3313" s="33"/>
      <c r="O3313" s="11">
        <f>SUM(O3314)</f>
        <v>182</v>
      </c>
      <c r="P3313" s="185"/>
    </row>
    <row r="3314" spans="1:16" hidden="1" outlineLevel="2">
      <c r="E3314" s="59"/>
      <c r="F3314" s="60"/>
      <c r="G3314" s="34"/>
      <c r="H3314" s="30"/>
      <c r="I3314" s="35"/>
      <c r="J3314" s="41"/>
      <c r="K3314" s="10"/>
      <c r="L3314" s="32"/>
      <c r="M3314" s="10"/>
      <c r="N3314" s="33">
        <v>182</v>
      </c>
      <c r="O3314" s="31">
        <f>ROUND(PRODUCT(J3314:N3314),2)</f>
        <v>182</v>
      </c>
      <c r="P3314" s="185"/>
    </row>
    <row r="3315" spans="1:16" ht="30" hidden="1" outlineLevel="1">
      <c r="A3315" s="2">
        <v>7</v>
      </c>
      <c r="B3315" s="2">
        <v>16</v>
      </c>
      <c r="C3315" s="2" t="e">
        <f>C3313+1</f>
        <v>#REF!</v>
      </c>
      <c r="E3315" s="20" t="e">
        <f>CONCATENATE(A3315,".",B3315,".",C3315)</f>
        <v>#REF!</v>
      </c>
      <c r="F3315" s="21" t="s">
        <v>4416</v>
      </c>
      <c r="G3315" s="22">
        <v>1272</v>
      </c>
      <c r="H3315" s="23" t="s">
        <v>912</v>
      </c>
      <c r="I3315" s="24" t="s">
        <v>80</v>
      </c>
      <c r="J3315" s="32"/>
      <c r="K3315" s="10"/>
      <c r="L3315" s="32"/>
      <c r="M3315" s="10"/>
      <c r="N3315" s="33"/>
      <c r="O3315" s="11">
        <f>SUM(O3316)</f>
        <v>271</v>
      </c>
      <c r="P3315" s="185"/>
    </row>
    <row r="3316" spans="1:16" hidden="1" outlineLevel="2">
      <c r="E3316" s="59"/>
      <c r="F3316" s="60"/>
      <c r="G3316" s="34"/>
      <c r="H3316" s="30"/>
      <c r="I3316" s="35"/>
      <c r="J3316" s="41"/>
      <c r="K3316" s="10"/>
      <c r="L3316" s="32"/>
      <c r="M3316" s="10"/>
      <c r="N3316" s="33">
        <v>271</v>
      </c>
      <c r="O3316" s="31">
        <f>ROUND(PRODUCT(J3316:N3316),2)</f>
        <v>271</v>
      </c>
      <c r="P3316" s="185"/>
    </row>
    <row r="3317" spans="1:16" ht="30" hidden="1" outlineLevel="1">
      <c r="A3317" s="2">
        <v>7</v>
      </c>
      <c r="B3317" s="2">
        <v>16</v>
      </c>
      <c r="C3317" s="2" t="e">
        <f>C3315+1</f>
        <v>#REF!</v>
      </c>
      <c r="E3317" s="20" t="e">
        <f>CONCATENATE(A3317,".",B3317,".",C3317)</f>
        <v>#REF!</v>
      </c>
      <c r="F3317" s="21" t="s">
        <v>4417</v>
      </c>
      <c r="G3317" s="22">
        <v>435</v>
      </c>
      <c r="H3317" s="23" t="s">
        <v>915</v>
      </c>
      <c r="I3317" s="24" t="s">
        <v>80</v>
      </c>
      <c r="J3317" s="32"/>
      <c r="K3317" s="10"/>
      <c r="L3317" s="32"/>
      <c r="M3317" s="10"/>
      <c r="N3317" s="33"/>
      <c r="O3317" s="11">
        <f>SUM(O3318)</f>
        <v>54</v>
      </c>
      <c r="P3317" s="185"/>
    </row>
    <row r="3318" spans="1:16" hidden="1" outlineLevel="2">
      <c r="E3318" s="59"/>
      <c r="F3318" s="60"/>
      <c r="G3318" s="34"/>
      <c r="H3318" s="30"/>
      <c r="I3318" s="35"/>
      <c r="J3318" s="41"/>
      <c r="K3318" s="10"/>
      <c r="L3318" s="32"/>
      <c r="M3318" s="10"/>
      <c r="N3318" s="33">
        <v>54</v>
      </c>
      <c r="O3318" s="31">
        <f>ROUND(PRODUCT(J3318:N3318),2)</f>
        <v>54</v>
      </c>
      <c r="P3318" s="67"/>
    </row>
    <row r="3319" spans="1:16" ht="30" hidden="1" outlineLevel="1">
      <c r="A3319" s="2">
        <v>7</v>
      </c>
      <c r="B3319" s="2">
        <v>16</v>
      </c>
      <c r="C3319" s="2" t="e">
        <f>#REF!+1</f>
        <v>#REF!</v>
      </c>
      <c r="E3319" s="20" t="e">
        <f>CONCATENATE(A3319,".",B3319,".",C3319)</f>
        <v>#REF!</v>
      </c>
      <c r="F3319" s="21" t="s">
        <v>4418</v>
      </c>
      <c r="G3319" s="22">
        <v>438</v>
      </c>
      <c r="H3319" s="23" t="s">
        <v>921</v>
      </c>
      <c r="I3319" s="24" t="s">
        <v>36</v>
      </c>
      <c r="J3319" s="32"/>
      <c r="K3319" s="10"/>
      <c r="L3319" s="32"/>
      <c r="M3319" s="10"/>
      <c r="N3319" s="33"/>
      <c r="O3319" s="11">
        <f>SUM(O3320)</f>
        <v>18</v>
      </c>
      <c r="P3319" s="185"/>
    </row>
    <row r="3320" spans="1:16" hidden="1" outlineLevel="2">
      <c r="E3320" s="59"/>
      <c r="F3320" s="60"/>
      <c r="G3320" s="34"/>
      <c r="H3320" s="30"/>
      <c r="I3320" s="35"/>
      <c r="J3320" s="41"/>
      <c r="K3320" s="10"/>
      <c r="L3320" s="32"/>
      <c r="M3320" s="10"/>
      <c r="N3320" s="33">
        <v>18</v>
      </c>
      <c r="O3320" s="31">
        <f>ROUND(PRODUCT(J3320:N3320),2)</f>
        <v>18</v>
      </c>
      <c r="P3320" s="185"/>
    </row>
    <row r="3321" spans="1:16" ht="30" hidden="1" outlineLevel="1">
      <c r="A3321" s="2">
        <v>7</v>
      </c>
      <c r="B3321" s="2">
        <v>16</v>
      </c>
      <c r="C3321" s="2" t="e">
        <f>#REF!+1</f>
        <v>#REF!</v>
      </c>
      <c r="E3321" s="20" t="e">
        <f>CONCATENATE(A3321,".",B3321,".",C3321)</f>
        <v>#REF!</v>
      </c>
      <c r="F3321" s="21" t="s">
        <v>4419</v>
      </c>
      <c r="G3321" s="22">
        <v>440</v>
      </c>
      <c r="H3321" s="23" t="s">
        <v>933</v>
      </c>
      <c r="I3321" s="24" t="s">
        <v>36</v>
      </c>
      <c r="J3321" s="32"/>
      <c r="K3321" s="10"/>
      <c r="L3321" s="32"/>
      <c r="M3321" s="10"/>
      <c r="N3321" s="33"/>
      <c r="O3321" s="11">
        <f>SUM(O3322)</f>
        <v>6</v>
      </c>
      <c r="P3321" s="185"/>
    </row>
    <row r="3322" spans="1:16" hidden="1" outlineLevel="2">
      <c r="E3322" s="59"/>
      <c r="F3322" s="60"/>
      <c r="G3322" s="34"/>
      <c r="H3322" s="30"/>
      <c r="I3322" s="35"/>
      <c r="J3322" s="41"/>
      <c r="K3322" s="10"/>
      <c r="L3322" s="32"/>
      <c r="M3322" s="10"/>
      <c r="N3322" s="33">
        <v>6</v>
      </c>
      <c r="O3322" s="31">
        <f>ROUND(PRODUCT(J3322:N3322),2)</f>
        <v>6</v>
      </c>
      <c r="P3322" s="185"/>
    </row>
    <row r="3323" spans="1:16" ht="30" hidden="1" outlineLevel="1">
      <c r="A3323" s="2">
        <v>7</v>
      </c>
      <c r="B3323" s="2">
        <v>16</v>
      </c>
      <c r="C3323" s="2" t="e">
        <f>C3321+1</f>
        <v>#REF!</v>
      </c>
      <c r="E3323" s="20" t="e">
        <f>CONCATENATE(A3323,".",B3323,".",C3323)</f>
        <v>#REF!</v>
      </c>
      <c r="F3323" s="21" t="s">
        <v>4420</v>
      </c>
      <c r="G3323" s="22">
        <v>91929</v>
      </c>
      <c r="H3323" s="23" t="s">
        <v>930</v>
      </c>
      <c r="I3323" s="24"/>
      <c r="J3323" s="32"/>
      <c r="K3323" s="10"/>
      <c r="L3323" s="32"/>
      <c r="M3323" s="10"/>
      <c r="N3323" s="33"/>
      <c r="O3323" s="11">
        <f>SUM(O3324)</f>
        <v>905</v>
      </c>
      <c r="P3323" s="185"/>
    </row>
    <row r="3324" spans="1:16" hidden="1" outlineLevel="2">
      <c r="E3324" s="59"/>
      <c r="F3324" s="60"/>
      <c r="G3324" s="34"/>
      <c r="H3324" s="30"/>
      <c r="I3324" s="35"/>
      <c r="J3324" s="41"/>
      <c r="K3324" s="10"/>
      <c r="L3324" s="32"/>
      <c r="M3324" s="10"/>
      <c r="N3324" s="33">
        <v>905</v>
      </c>
      <c r="O3324" s="31">
        <f>ROUND(PRODUCT(J3324:N3324),2)</f>
        <v>905</v>
      </c>
      <c r="P3324" s="185"/>
    </row>
    <row r="3325" spans="1:16" hidden="1" outlineLevel="1">
      <c r="A3325" s="2">
        <v>7</v>
      </c>
      <c r="B3325" s="2">
        <v>16</v>
      </c>
      <c r="C3325" s="2" t="e">
        <f>#REF!+1</f>
        <v>#REF!</v>
      </c>
      <c r="E3325" s="20" t="e">
        <f>CONCATENATE(A3325,".",B3325,".",C3325)</f>
        <v>#REF!</v>
      </c>
      <c r="F3325" s="21" t="s">
        <v>4421</v>
      </c>
      <c r="G3325" s="22">
        <v>447</v>
      </c>
      <c r="H3325" s="23" t="s">
        <v>1202</v>
      </c>
      <c r="I3325" s="24" t="s">
        <v>80</v>
      </c>
      <c r="J3325" s="32"/>
      <c r="K3325" s="10"/>
      <c r="L3325" s="32"/>
      <c r="M3325" s="10"/>
      <c r="N3325" s="33"/>
      <c r="O3325" s="11">
        <f>SUM(O3326)</f>
        <v>20</v>
      </c>
      <c r="P3325" s="185"/>
    </row>
    <row r="3326" spans="1:16" hidden="1" outlineLevel="2">
      <c r="E3326" s="59"/>
      <c r="F3326" s="60"/>
      <c r="G3326" s="34"/>
      <c r="H3326" s="30"/>
      <c r="I3326" s="35"/>
      <c r="J3326" s="41"/>
      <c r="K3326" s="10"/>
      <c r="L3326" s="32"/>
      <c r="M3326" s="10"/>
      <c r="N3326" s="33">
        <v>20</v>
      </c>
      <c r="O3326" s="31">
        <f>ROUND(PRODUCT(J3326:N3326),2)</f>
        <v>20</v>
      </c>
      <c r="P3326" s="185"/>
    </row>
    <row r="3327" spans="1:16" hidden="1" outlineLevel="1">
      <c r="A3327" s="2">
        <v>7</v>
      </c>
      <c r="B3327" s="2">
        <v>16</v>
      </c>
      <c r="C3327" s="2" t="e">
        <f>C3325+1</f>
        <v>#REF!</v>
      </c>
      <c r="E3327" s="20" t="e">
        <f>CONCATENATE(A3327,".",B3327,".",C3327)</f>
        <v>#REF!</v>
      </c>
      <c r="F3327" s="21" t="s">
        <v>4422</v>
      </c>
      <c r="G3327" s="22">
        <v>448</v>
      </c>
      <c r="H3327" s="23" t="s">
        <v>945</v>
      </c>
      <c r="I3327" s="24" t="s">
        <v>80</v>
      </c>
      <c r="J3327" s="32"/>
      <c r="K3327" s="10"/>
      <c r="L3327" s="32"/>
      <c r="M3327" s="10"/>
      <c r="N3327" s="33"/>
      <c r="O3327" s="11">
        <f>SUM(O3328)</f>
        <v>20</v>
      </c>
      <c r="P3327" s="185"/>
    </row>
    <row r="3328" spans="1:16" hidden="1" outlineLevel="2">
      <c r="E3328" s="59"/>
      <c r="F3328" s="60"/>
      <c r="G3328" s="34"/>
      <c r="H3328" s="30"/>
      <c r="I3328" s="35"/>
      <c r="J3328" s="41"/>
      <c r="K3328" s="10"/>
      <c r="L3328" s="32"/>
      <c r="M3328" s="10"/>
      <c r="N3328" s="33">
        <v>20</v>
      </c>
      <c r="O3328" s="31">
        <f>ROUND(PRODUCT(J3328:N3328),2)</f>
        <v>20</v>
      </c>
      <c r="P3328" s="185"/>
    </row>
    <row r="3329" spans="1:17" collapsed="1">
      <c r="E3329" s="42">
        <v>8</v>
      </c>
      <c r="F3329" s="43">
        <v>8</v>
      </c>
      <c r="G3329" s="13"/>
      <c r="H3329" s="14" t="s">
        <v>18</v>
      </c>
      <c r="I3329" s="15"/>
      <c r="J3329" s="16"/>
      <c r="K3329" s="17"/>
      <c r="L3329" s="16"/>
      <c r="M3329" s="17"/>
      <c r="N3329" s="18"/>
      <c r="O3329" s="19"/>
      <c r="P3329" s="185"/>
      <c r="Q3329" s="185"/>
    </row>
    <row r="3330" spans="1:17">
      <c r="A3330" s="2">
        <v>8</v>
      </c>
      <c r="B3330" s="2">
        <v>1</v>
      </c>
      <c r="E3330" s="42" t="str">
        <f>CONCATENATE(A3330,".",B3330)</f>
        <v>8.1</v>
      </c>
      <c r="F3330" s="45" t="s">
        <v>4423</v>
      </c>
      <c r="G3330" s="13"/>
      <c r="H3330" s="14" t="s">
        <v>1965</v>
      </c>
      <c r="I3330" s="15"/>
      <c r="J3330" s="16"/>
      <c r="K3330" s="17"/>
      <c r="L3330" s="16"/>
      <c r="M3330" s="17"/>
      <c r="N3330" s="18"/>
      <c r="O3330" s="19"/>
      <c r="P3330" s="185"/>
      <c r="Q3330" s="185"/>
    </row>
    <row r="3331" spans="1:17" ht="30" hidden="1" outlineLevel="1">
      <c r="A3331" s="2">
        <v>8</v>
      </c>
      <c r="B3331" s="2">
        <v>1</v>
      </c>
      <c r="C3331" s="2">
        <v>1</v>
      </c>
      <c r="E3331" s="20" t="str">
        <f>CONCATENATE(A3331,".",B3331,".",C3331)</f>
        <v>8.1.1</v>
      </c>
      <c r="F3331" s="120" t="s">
        <v>4424</v>
      </c>
      <c r="G3331" s="113">
        <v>99059</v>
      </c>
      <c r="H3331" s="114" t="s">
        <v>2821</v>
      </c>
      <c r="I3331" s="115" t="s">
        <v>144</v>
      </c>
      <c r="J3331" s="131"/>
      <c r="K3331" s="132"/>
      <c r="L3331" s="133"/>
      <c r="M3331" s="132"/>
      <c r="N3331" s="134"/>
      <c r="O3331" s="135">
        <f>SUM(O3332)</f>
        <v>21.65</v>
      </c>
      <c r="P3331" s="185"/>
      <c r="Q3331" s="185"/>
    </row>
    <row r="3332" spans="1:17" hidden="1" outlineLevel="2">
      <c r="E3332" s="20"/>
      <c r="F3332" s="120"/>
      <c r="G3332" s="136"/>
      <c r="H3332" s="118"/>
      <c r="I3332" s="137"/>
      <c r="J3332" s="131"/>
      <c r="K3332" s="138"/>
      <c r="L3332" s="134"/>
      <c r="M3332" s="138"/>
      <c r="N3332" s="134">
        <v>21.65</v>
      </c>
      <c r="O3332" s="139">
        <f>ROUND(PRODUCT(J3332:N3332),2)</f>
        <v>21.65</v>
      </c>
      <c r="P3332" s="185"/>
      <c r="Q3332" s="185"/>
    </row>
    <row r="3333" spans="1:17" ht="45" hidden="1" outlineLevel="1">
      <c r="A3333" s="2">
        <v>8</v>
      </c>
      <c r="B3333" s="2">
        <v>1</v>
      </c>
      <c r="C3333" s="2">
        <f>1+C3331</f>
        <v>2</v>
      </c>
      <c r="E3333" s="20" t="str">
        <f>CONCATENATE(A3333,".",B3333,".",C3333)</f>
        <v>8.1.2</v>
      </c>
      <c r="F3333" s="120" t="s">
        <v>4425</v>
      </c>
      <c r="G3333" s="113">
        <v>96521</v>
      </c>
      <c r="H3333" s="114" t="s">
        <v>1971</v>
      </c>
      <c r="I3333" s="115" t="s">
        <v>126</v>
      </c>
      <c r="J3333" s="131"/>
      <c r="K3333" s="132"/>
      <c r="L3333" s="133"/>
      <c r="M3333" s="132"/>
      <c r="N3333" s="134"/>
      <c r="O3333" s="135">
        <f>SUM(O3334:O3334)</f>
        <v>63.5</v>
      </c>
      <c r="P3333" s="185"/>
      <c r="Q3333" s="185"/>
    </row>
    <row r="3334" spans="1:17" hidden="1" outlineLevel="2">
      <c r="E3334" s="20"/>
      <c r="F3334" s="120"/>
      <c r="G3334" s="136"/>
      <c r="H3334" s="118" t="s">
        <v>2823</v>
      </c>
      <c r="I3334" s="137"/>
      <c r="J3334" s="131"/>
      <c r="K3334" s="138"/>
      <c r="L3334" s="134"/>
      <c r="M3334" s="138"/>
      <c r="N3334" s="134">
        <v>63.5</v>
      </c>
      <c r="O3334" s="139">
        <f>ROUND(PRODUCT(J3334:N3334),2)</f>
        <v>63.5</v>
      </c>
      <c r="P3334" s="185"/>
      <c r="Q3334" s="185"/>
    </row>
    <row r="3335" spans="1:17" ht="30" hidden="1" outlineLevel="1">
      <c r="A3335" s="2">
        <v>8</v>
      </c>
      <c r="B3335" s="2">
        <v>1</v>
      </c>
      <c r="C3335" s="2" t="e">
        <f>1+#REF!</f>
        <v>#REF!</v>
      </c>
      <c r="E3335" s="20" t="e">
        <f>CONCATENATE(A3335,".",B3335,".",C3335)</f>
        <v>#REF!</v>
      </c>
      <c r="F3335" s="120" t="s">
        <v>4426</v>
      </c>
      <c r="G3335" s="113">
        <v>96619</v>
      </c>
      <c r="H3335" s="114" t="s">
        <v>1977</v>
      </c>
      <c r="I3335" s="115" t="s">
        <v>45</v>
      </c>
      <c r="J3335" s="131"/>
      <c r="K3335" s="132"/>
      <c r="L3335" s="133"/>
      <c r="M3335" s="132"/>
      <c r="N3335" s="134"/>
      <c r="O3335" s="135">
        <f>SUM(O3336:O3336)</f>
        <v>38.880000000000003</v>
      </c>
      <c r="P3335" s="185"/>
      <c r="Q3335" s="185"/>
    </row>
    <row r="3336" spans="1:17" hidden="1" outlineLevel="2">
      <c r="E3336" s="20"/>
      <c r="F3336" s="120"/>
      <c r="G3336" s="136"/>
      <c r="H3336" s="118"/>
      <c r="I3336" s="137"/>
      <c r="J3336" s="131"/>
      <c r="K3336" s="138"/>
      <c r="L3336" s="134"/>
      <c r="M3336" s="138"/>
      <c r="N3336" s="134">
        <v>38.880000000000003</v>
      </c>
      <c r="O3336" s="139">
        <f>ROUND(PRODUCT(J3336:N3336),2)</f>
        <v>38.880000000000003</v>
      </c>
      <c r="P3336" s="185"/>
      <c r="Q3336" s="185"/>
    </row>
    <row r="3337" spans="1:17" ht="30" hidden="1" outlineLevel="2">
      <c r="E3337" s="20"/>
      <c r="F3337" s="120" t="s">
        <v>4427</v>
      </c>
      <c r="G3337" s="113">
        <v>96535</v>
      </c>
      <c r="H3337" s="114" t="s">
        <v>1983</v>
      </c>
      <c r="I3337" s="115" t="s">
        <v>45</v>
      </c>
      <c r="J3337" s="131"/>
      <c r="K3337" s="132"/>
      <c r="L3337" s="133"/>
      <c r="M3337" s="132"/>
      <c r="N3337" s="134"/>
      <c r="O3337" s="135">
        <f>SUM(O3338:O3338)</f>
        <v>16.899999999999999</v>
      </c>
      <c r="P3337" s="185"/>
      <c r="Q3337" s="185"/>
    </row>
    <row r="3338" spans="1:17" hidden="1" outlineLevel="1">
      <c r="A3338" s="2">
        <v>8</v>
      </c>
      <c r="B3338" s="2">
        <v>1</v>
      </c>
      <c r="C3338" s="2" t="e">
        <f>1+#REF!</f>
        <v>#REF!</v>
      </c>
      <c r="E3338" s="20" t="e">
        <f>CONCATENATE(A3338,".",B3338,".",C3338)</f>
        <v>#REF!</v>
      </c>
      <c r="F3338" s="120"/>
      <c r="G3338" s="136"/>
      <c r="H3338" s="118"/>
      <c r="I3338" s="137"/>
      <c r="J3338" s="131"/>
      <c r="K3338" s="138"/>
      <c r="L3338" s="134"/>
      <c r="M3338" s="138"/>
      <c r="N3338" s="134">
        <v>16.899999999999999</v>
      </c>
      <c r="O3338" s="139">
        <f>ROUND(PRODUCT(J3338:N3338),2)</f>
        <v>16.899999999999999</v>
      </c>
      <c r="P3338" s="185"/>
      <c r="Q3338" s="185"/>
    </row>
    <row r="3339" spans="1:17" ht="45" hidden="1" outlineLevel="2">
      <c r="E3339" s="20"/>
      <c r="F3339" s="120" t="s">
        <v>4428</v>
      </c>
      <c r="G3339" s="113">
        <v>92439</v>
      </c>
      <c r="H3339" s="114" t="s">
        <v>1989</v>
      </c>
      <c r="I3339" s="115" t="s">
        <v>45</v>
      </c>
      <c r="J3339" s="131"/>
      <c r="K3339" s="132"/>
      <c r="L3339" s="133"/>
      <c r="M3339" s="132"/>
      <c r="N3339" s="134"/>
      <c r="O3339" s="135">
        <f>SUM(O3340:O3340)</f>
        <v>14</v>
      </c>
      <c r="P3339" s="185"/>
      <c r="Q3339" s="185"/>
    </row>
    <row r="3340" spans="1:17" hidden="1" outlineLevel="1">
      <c r="A3340" s="2">
        <v>8</v>
      </c>
      <c r="B3340" s="2">
        <v>1</v>
      </c>
      <c r="C3340" s="2" t="e">
        <f>1+C3338</f>
        <v>#REF!</v>
      </c>
      <c r="E3340" s="20" t="e">
        <f>CONCATENATE(A3340,".",B3340,".",C3340)</f>
        <v>#REF!</v>
      </c>
      <c r="F3340" s="120"/>
      <c r="G3340" s="136"/>
      <c r="H3340" s="118"/>
      <c r="I3340" s="137"/>
      <c r="J3340" s="131"/>
      <c r="K3340" s="138"/>
      <c r="L3340" s="134"/>
      <c r="M3340" s="138"/>
      <c r="N3340" s="134">
        <v>14</v>
      </c>
      <c r="O3340" s="139">
        <f>ROUND(PRODUCT(J3340:N3340),2)</f>
        <v>14</v>
      </c>
      <c r="P3340" s="185"/>
      <c r="Q3340" s="185"/>
    </row>
    <row r="3341" spans="1:17" ht="30" hidden="1" outlineLevel="2">
      <c r="E3341" s="20"/>
      <c r="F3341" s="120" t="s">
        <v>4429</v>
      </c>
      <c r="G3341" s="113">
        <v>104920</v>
      </c>
      <c r="H3341" s="114" t="s">
        <v>2004</v>
      </c>
      <c r="I3341" s="115" t="s">
        <v>80</v>
      </c>
      <c r="J3341" s="141"/>
      <c r="K3341" s="132"/>
      <c r="L3341" s="133"/>
      <c r="M3341" s="142"/>
      <c r="N3341" s="134"/>
      <c r="O3341" s="135">
        <f>SUM(O3342:O3342)</f>
        <v>551.28</v>
      </c>
      <c r="P3341" s="185"/>
      <c r="Q3341" s="185"/>
    </row>
    <row r="3342" spans="1:17" hidden="1" outlineLevel="1">
      <c r="A3342" s="2">
        <v>8</v>
      </c>
      <c r="B3342" s="2">
        <v>1</v>
      </c>
      <c r="C3342" s="2" t="e">
        <f>1+#REF!</f>
        <v>#REF!</v>
      </c>
      <c r="E3342" s="20" t="e">
        <f>CONCATENATE(A3342,".",B3342,".",C3342)</f>
        <v>#REF!</v>
      </c>
      <c r="F3342" s="120"/>
      <c r="G3342" s="136"/>
      <c r="H3342" s="118" t="s">
        <v>2823</v>
      </c>
      <c r="I3342" s="140"/>
      <c r="J3342" s="140"/>
      <c r="K3342" s="138"/>
      <c r="L3342" s="138"/>
      <c r="M3342" s="140"/>
      <c r="N3342" s="138">
        <v>551.28</v>
      </c>
      <c r="O3342" s="139">
        <f>ROUND(PRODUCT(J3342:N3342),2)</f>
        <v>551.28</v>
      </c>
      <c r="P3342" s="185"/>
      <c r="Q3342" s="185"/>
    </row>
    <row r="3343" spans="1:17" ht="30" hidden="1" outlineLevel="2">
      <c r="E3343" s="20"/>
      <c r="F3343" s="120" t="s">
        <v>4430</v>
      </c>
      <c r="G3343" s="113">
        <v>92760</v>
      </c>
      <c r="H3343" s="114" t="s">
        <v>2123</v>
      </c>
      <c r="I3343" s="115" t="s">
        <v>80</v>
      </c>
      <c r="J3343" s="141"/>
      <c r="K3343" s="132"/>
      <c r="L3343" s="133"/>
      <c r="M3343" s="142"/>
      <c r="N3343" s="134"/>
      <c r="O3343" s="135">
        <f>SUM(O3344)</f>
        <v>76.47</v>
      </c>
      <c r="P3343" s="185"/>
      <c r="Q3343" s="185"/>
    </row>
    <row r="3344" spans="1:17" hidden="1" outlineLevel="1">
      <c r="A3344" s="2">
        <v>8</v>
      </c>
      <c r="B3344" s="2">
        <v>1</v>
      </c>
      <c r="C3344" s="2" t="e">
        <f>1+#REF!</f>
        <v>#REF!</v>
      </c>
      <c r="E3344" s="20" t="e">
        <f>CONCATENATE(A3344,".",B3344,".",C3344)</f>
        <v>#REF!</v>
      </c>
      <c r="F3344" s="120"/>
      <c r="G3344" s="136"/>
      <c r="H3344" s="118"/>
      <c r="I3344" s="140"/>
      <c r="J3344" s="140"/>
      <c r="K3344" s="138"/>
      <c r="L3344" s="138"/>
      <c r="M3344" s="140"/>
      <c r="N3344" s="138">
        <v>76.47</v>
      </c>
      <c r="O3344" s="139">
        <f>ROUND(PRODUCT(J3344:N3344),2)</f>
        <v>76.47</v>
      </c>
      <c r="P3344" s="185"/>
      <c r="Q3344" s="185"/>
    </row>
    <row r="3345" spans="1:17" ht="30" hidden="1" outlineLevel="2">
      <c r="E3345" s="20"/>
      <c r="F3345" s="120" t="s">
        <v>4431</v>
      </c>
      <c r="G3345" s="113">
        <v>92764</v>
      </c>
      <c r="H3345" s="114" t="s">
        <v>95</v>
      </c>
      <c r="I3345" s="115" t="s">
        <v>80</v>
      </c>
      <c r="J3345" s="141"/>
      <c r="K3345" s="132"/>
      <c r="L3345" s="133"/>
      <c r="M3345" s="142"/>
      <c r="N3345" s="134"/>
      <c r="O3345" s="135">
        <f>SUM(O3346)</f>
        <v>144.91999999999999</v>
      </c>
      <c r="P3345" s="185"/>
      <c r="Q3345" s="185"/>
    </row>
    <row r="3346" spans="1:17" hidden="1" outlineLevel="1">
      <c r="A3346" s="2">
        <v>8</v>
      </c>
      <c r="B3346" s="2">
        <v>1</v>
      </c>
      <c r="C3346" s="2" t="e">
        <f>1+C3344</f>
        <v>#REF!</v>
      </c>
      <c r="E3346" s="20" t="e">
        <f>CONCATENATE(A3346,".",B3346,".",C3346)</f>
        <v>#REF!</v>
      </c>
      <c r="F3346" s="120"/>
      <c r="G3346" s="136"/>
      <c r="H3346" s="118"/>
      <c r="I3346" s="140"/>
      <c r="J3346" s="140"/>
      <c r="K3346" s="138"/>
      <c r="L3346" s="138"/>
      <c r="M3346" s="140"/>
      <c r="N3346" s="138">
        <v>144.91999999999999</v>
      </c>
      <c r="O3346" s="139">
        <f>ROUND(PRODUCT(J3346:N3346),2)</f>
        <v>144.91999999999999</v>
      </c>
      <c r="P3346" s="185"/>
      <c r="Q3346" s="185"/>
    </row>
    <row r="3347" spans="1:17" ht="30" hidden="1" outlineLevel="1">
      <c r="A3347" s="2">
        <v>8</v>
      </c>
      <c r="B3347" s="2">
        <v>1</v>
      </c>
      <c r="C3347" s="2" t="e">
        <f>1+#REF!</f>
        <v>#REF!</v>
      </c>
      <c r="E3347" s="20" t="e">
        <f>CONCATENATE(A3347,".",B3347,".",C3347)</f>
        <v>#REF!</v>
      </c>
      <c r="F3347" s="120" t="s">
        <v>4432</v>
      </c>
      <c r="G3347" s="113" t="s">
        <v>2014</v>
      </c>
      <c r="H3347" s="114" t="s">
        <v>2015</v>
      </c>
      <c r="I3347" s="115" t="s">
        <v>126</v>
      </c>
      <c r="J3347" s="131"/>
      <c r="K3347" s="132"/>
      <c r="L3347" s="133"/>
      <c r="M3347" s="132"/>
      <c r="N3347" s="134"/>
      <c r="O3347" s="135">
        <f>SUM(O3348:O3349)</f>
        <v>48.3</v>
      </c>
      <c r="P3347" s="185"/>
      <c r="Q3347" s="185"/>
    </row>
    <row r="3348" spans="1:17" hidden="1" outlineLevel="2">
      <c r="E3348" s="20"/>
      <c r="F3348" s="120"/>
      <c r="G3348" s="136"/>
      <c r="H3348" s="118" t="s">
        <v>2842</v>
      </c>
      <c r="I3348" s="137"/>
      <c r="J3348" s="131"/>
      <c r="K3348" s="138"/>
      <c r="L3348" s="134"/>
      <c r="M3348" s="138"/>
      <c r="N3348" s="134">
        <f>O3333</f>
        <v>63.5</v>
      </c>
      <c r="O3348" s="139">
        <f>ROUND(PRODUCT(J3348:N3348),2)</f>
        <v>63.5</v>
      </c>
      <c r="P3348" s="185"/>
      <c r="Q3348" s="185"/>
    </row>
    <row r="3349" spans="1:17" hidden="1" outlineLevel="2">
      <c r="E3349" s="20"/>
      <c r="F3349" s="120"/>
      <c r="G3349" s="136"/>
      <c r="H3349" s="118" t="s">
        <v>2843</v>
      </c>
      <c r="I3349" s="137"/>
      <c r="J3349" s="143">
        <v>-1</v>
      </c>
      <c r="K3349" s="143"/>
      <c r="L3349" s="143"/>
      <c r="M3349" s="143"/>
      <c r="N3349" s="134">
        <f>O3350</f>
        <v>15.2</v>
      </c>
      <c r="O3349" s="144">
        <f>ROUND(PRODUCT(J3349:N3349),2)</f>
        <v>-15.2</v>
      </c>
      <c r="P3349" s="185"/>
      <c r="Q3349" s="185"/>
    </row>
    <row r="3350" spans="1:17" ht="30" hidden="1" outlineLevel="1">
      <c r="A3350" s="2">
        <v>8</v>
      </c>
      <c r="B3350" s="2">
        <v>1</v>
      </c>
      <c r="C3350" s="2" t="e">
        <f>1+C3347</f>
        <v>#REF!</v>
      </c>
      <c r="E3350" s="20" t="e">
        <f>CONCATENATE(A3350,".",B3350,".",C3350)</f>
        <v>#REF!</v>
      </c>
      <c r="F3350" s="120" t="s">
        <v>4433</v>
      </c>
      <c r="G3350" s="113">
        <v>96558</v>
      </c>
      <c r="H3350" s="114" t="s">
        <v>2018</v>
      </c>
      <c r="I3350" s="115" t="s">
        <v>276</v>
      </c>
      <c r="J3350" s="131"/>
      <c r="K3350" s="132"/>
      <c r="L3350" s="133"/>
      <c r="M3350" s="132"/>
      <c r="N3350" s="134"/>
      <c r="O3350" s="135">
        <f>SUM(O3351)</f>
        <v>15.2</v>
      </c>
      <c r="P3350" s="185"/>
      <c r="Q3350" s="185"/>
    </row>
    <row r="3351" spans="1:17" hidden="1" outlineLevel="2">
      <c r="E3351" s="20"/>
      <c r="F3351" s="120"/>
      <c r="G3351" s="136"/>
      <c r="H3351" s="118"/>
      <c r="I3351" s="137"/>
      <c r="J3351" s="143"/>
      <c r="K3351" s="138"/>
      <c r="L3351" s="134"/>
      <c r="M3351" s="138"/>
      <c r="N3351" s="134">
        <v>15.2</v>
      </c>
      <c r="O3351" s="139">
        <f>ROUND(PRODUCT(J3351:N3351),2)</f>
        <v>15.2</v>
      </c>
      <c r="P3351" s="185"/>
      <c r="Q3351" s="185"/>
    </row>
    <row r="3352" spans="1:17" ht="45" hidden="1" outlineLevel="1">
      <c r="A3352" s="2">
        <v>8</v>
      </c>
      <c r="B3352" s="2">
        <v>1</v>
      </c>
      <c r="C3352" s="2" t="e">
        <f>1+C3350</f>
        <v>#REF!</v>
      </c>
      <c r="E3352" s="20" t="e">
        <f>CONCATENATE(A3352,".",B3352,".",C3352)</f>
        <v>#REF!</v>
      </c>
      <c r="F3352" s="120" t="s">
        <v>4434</v>
      </c>
      <c r="G3352" s="113">
        <v>604</v>
      </c>
      <c r="H3352" s="114" t="s">
        <v>2846</v>
      </c>
      <c r="I3352" s="115" t="s">
        <v>276</v>
      </c>
      <c r="J3352" s="131"/>
      <c r="K3352" s="132"/>
      <c r="L3352" s="133"/>
      <c r="M3352" s="132"/>
      <c r="N3352" s="134"/>
      <c r="O3352" s="135">
        <f>SUM(O3353)</f>
        <v>1.4</v>
      </c>
      <c r="P3352" s="185"/>
      <c r="Q3352" s="185"/>
    </row>
    <row r="3353" spans="1:17" hidden="1" outlineLevel="2">
      <c r="E3353" s="20"/>
      <c r="F3353" s="120"/>
      <c r="G3353" s="136"/>
      <c r="H3353" s="118" t="s">
        <v>2847</v>
      </c>
      <c r="I3353" s="137"/>
      <c r="J3353" s="131"/>
      <c r="K3353" s="138"/>
      <c r="L3353" s="134"/>
      <c r="M3353" s="138"/>
      <c r="N3353" s="134">
        <v>1.4</v>
      </c>
      <c r="O3353" s="139">
        <f>ROUND(PRODUCT(J3353:N3353),2)</f>
        <v>1.4</v>
      </c>
      <c r="P3353" s="185"/>
      <c r="Q3353" s="185"/>
    </row>
    <row r="3354" spans="1:17" collapsed="1">
      <c r="A3354" s="2">
        <v>8</v>
      </c>
      <c r="B3354" s="2">
        <v>2</v>
      </c>
      <c r="E3354" s="42" t="str">
        <f>CONCATENATE(A3354,".",B3354)</f>
        <v>8.2</v>
      </c>
      <c r="F3354" s="53" t="s">
        <v>4435</v>
      </c>
      <c r="G3354" s="13"/>
      <c r="H3354" s="14" t="s">
        <v>76</v>
      </c>
      <c r="I3354" s="15"/>
      <c r="J3354" s="16"/>
      <c r="K3354" s="17"/>
      <c r="L3354" s="16"/>
      <c r="M3354" s="17"/>
      <c r="N3354" s="18"/>
      <c r="O3354" s="19"/>
      <c r="P3354" s="185"/>
      <c r="Q3354" s="185"/>
    </row>
    <row r="3355" spans="1:17" ht="30" hidden="1" outlineLevel="1">
      <c r="A3355" s="2">
        <v>8</v>
      </c>
      <c r="B3355" s="2">
        <v>2</v>
      </c>
      <c r="C3355" s="2">
        <v>1</v>
      </c>
      <c r="E3355" s="20" t="str">
        <f>CONCATENATE(A3355,".",B3355,".",C3355)</f>
        <v>8.2.1</v>
      </c>
      <c r="F3355" s="120" t="s">
        <v>4436</v>
      </c>
      <c r="G3355" s="113">
        <v>100067</v>
      </c>
      <c r="H3355" s="114" t="s">
        <v>1430</v>
      </c>
      <c r="I3355" s="115" t="s">
        <v>80</v>
      </c>
      <c r="J3355" s="131"/>
      <c r="K3355" s="132"/>
      <c r="L3355" s="133"/>
      <c r="M3355" s="132"/>
      <c r="N3355" s="134"/>
      <c r="O3355" s="135">
        <f>SUM(O3356:O3356)</f>
        <v>130.18</v>
      </c>
      <c r="P3355" s="185"/>
      <c r="Q3355" s="185"/>
    </row>
    <row r="3356" spans="1:17" hidden="1" outlineLevel="1">
      <c r="E3356" s="20"/>
      <c r="F3356" s="120"/>
      <c r="G3356" s="136"/>
      <c r="H3356" s="118"/>
      <c r="I3356" s="137"/>
      <c r="J3356" s="146"/>
      <c r="K3356" s="138"/>
      <c r="L3356" s="134"/>
      <c r="M3356" s="140"/>
      <c r="N3356" s="134">
        <v>130.18</v>
      </c>
      <c r="O3356" s="139">
        <f>ROUND(PRODUCT(J3356:N3356),2)</f>
        <v>130.18</v>
      </c>
      <c r="P3356" s="185"/>
      <c r="Q3356" s="185"/>
    </row>
    <row r="3357" spans="1:17" ht="30" hidden="1" outlineLevel="1">
      <c r="A3357" s="2">
        <v>8</v>
      </c>
      <c r="B3357" s="2">
        <v>2</v>
      </c>
      <c r="C3357" s="2">
        <f>1+C3355</f>
        <v>2</v>
      </c>
      <c r="E3357" s="20" t="str">
        <f>CONCATENATE(A3357,".",B3357,".",C3357)</f>
        <v>8.2.2</v>
      </c>
      <c r="F3357" s="120" t="s">
        <v>4437</v>
      </c>
      <c r="G3357" s="113">
        <v>91601</v>
      </c>
      <c r="H3357" s="114" t="s">
        <v>1433</v>
      </c>
      <c r="I3357" s="115" t="s">
        <v>80</v>
      </c>
      <c r="J3357" s="147"/>
      <c r="K3357" s="132"/>
      <c r="L3357" s="133"/>
      <c r="M3357" s="142"/>
      <c r="N3357" s="134"/>
      <c r="O3357" s="135">
        <f>SUM(O3358:O3358)</f>
        <v>15.82</v>
      </c>
      <c r="P3357" s="185"/>
      <c r="Q3357" s="185"/>
    </row>
    <row r="3358" spans="1:17" hidden="1" outlineLevel="1">
      <c r="E3358" s="20"/>
      <c r="F3358" s="120"/>
      <c r="G3358" s="136"/>
      <c r="H3358" s="118"/>
      <c r="I3358" s="137"/>
      <c r="J3358" s="146"/>
      <c r="K3358" s="138"/>
      <c r="L3358" s="134"/>
      <c r="M3358" s="140"/>
      <c r="N3358" s="134">
        <v>15.82</v>
      </c>
      <c r="O3358" s="139">
        <f>ROUND(PRODUCT(J3358:N3358),2)</f>
        <v>15.82</v>
      </c>
      <c r="P3358" s="185"/>
      <c r="Q3358" s="185"/>
    </row>
    <row r="3359" spans="1:17" ht="30" hidden="1" outlineLevel="1">
      <c r="A3359" s="2">
        <v>8</v>
      </c>
      <c r="B3359" s="2">
        <v>2</v>
      </c>
      <c r="C3359" s="2">
        <f>1+C3357</f>
        <v>3</v>
      </c>
      <c r="E3359" s="20" t="str">
        <f>CONCATENATE(A3359,".",B3359,".",C3359)</f>
        <v>8.2.3</v>
      </c>
      <c r="F3359" s="120" t="s">
        <v>4438</v>
      </c>
      <c r="G3359" s="113">
        <v>91602</v>
      </c>
      <c r="H3359" s="114" t="s">
        <v>1436</v>
      </c>
      <c r="I3359" s="115" t="s">
        <v>80</v>
      </c>
      <c r="J3359" s="147"/>
      <c r="K3359" s="132"/>
      <c r="L3359" s="133"/>
      <c r="M3359" s="142"/>
      <c r="N3359" s="134"/>
      <c r="O3359" s="135">
        <f>SUM(O3360)</f>
        <v>2721.73</v>
      </c>
      <c r="P3359" s="185"/>
      <c r="Q3359" s="185"/>
    </row>
    <row r="3360" spans="1:17" hidden="1" outlineLevel="1">
      <c r="E3360" s="20"/>
      <c r="F3360" s="120"/>
      <c r="G3360" s="136"/>
      <c r="H3360" s="118"/>
      <c r="I3360" s="137"/>
      <c r="J3360" s="146"/>
      <c r="K3360" s="138"/>
      <c r="L3360" s="134"/>
      <c r="M3360" s="140"/>
      <c r="N3360" s="134">
        <v>2721.73</v>
      </c>
      <c r="O3360" s="139">
        <f>ROUND(PRODUCT(J3360:N3360),2)</f>
        <v>2721.73</v>
      </c>
      <c r="P3360" s="185"/>
      <c r="Q3360" s="185"/>
    </row>
    <row r="3361" spans="1:17" ht="30" hidden="1" outlineLevel="1">
      <c r="A3361" s="2">
        <v>8</v>
      </c>
      <c r="B3361" s="2">
        <v>2</v>
      </c>
      <c r="C3361" s="2">
        <f>1+C3359</f>
        <v>4</v>
      </c>
      <c r="E3361" s="20" t="str">
        <f>CONCATENATE(A3361,".",B3361,".",C3361)</f>
        <v>8.2.4</v>
      </c>
      <c r="F3361" s="120" t="s">
        <v>4439</v>
      </c>
      <c r="G3361" s="113">
        <v>91603</v>
      </c>
      <c r="H3361" s="114" t="s">
        <v>1439</v>
      </c>
      <c r="I3361" s="115" t="s">
        <v>80</v>
      </c>
      <c r="J3361" s="147"/>
      <c r="K3361" s="132"/>
      <c r="L3361" s="133"/>
      <c r="M3361" s="142"/>
      <c r="N3361" s="134"/>
      <c r="O3361" s="135">
        <f>SUM(O3362:O3362)</f>
        <v>3481.27</v>
      </c>
      <c r="P3361" s="185"/>
      <c r="Q3361" s="185"/>
    </row>
    <row r="3362" spans="1:17" hidden="1" outlineLevel="1">
      <c r="E3362" s="20"/>
      <c r="F3362" s="120"/>
      <c r="G3362" s="136"/>
      <c r="H3362" s="118"/>
      <c r="I3362" s="137"/>
      <c r="J3362" s="146"/>
      <c r="K3362" s="138"/>
      <c r="L3362" s="134"/>
      <c r="M3362" s="140"/>
      <c r="N3362" s="134">
        <v>3481.27</v>
      </c>
      <c r="O3362" s="139">
        <f>ROUND(PRODUCT(J3362:N3362),2)</f>
        <v>3481.27</v>
      </c>
      <c r="P3362" s="185"/>
      <c r="Q3362" s="185"/>
    </row>
    <row r="3363" spans="1:17" ht="30" hidden="1" outlineLevel="1">
      <c r="E3363" s="20"/>
      <c r="F3363" s="120" t="s">
        <v>4440</v>
      </c>
      <c r="G3363" s="113">
        <v>2368</v>
      </c>
      <c r="H3363" s="114" t="s">
        <v>1442</v>
      </c>
      <c r="I3363" s="115" t="s">
        <v>276</v>
      </c>
      <c r="J3363" s="147"/>
      <c r="K3363" s="132"/>
      <c r="L3363" s="133"/>
      <c r="M3363" s="142"/>
      <c r="N3363" s="134"/>
      <c r="O3363" s="135">
        <f>SUM(O3364:O3364)</f>
        <v>204.27</v>
      </c>
      <c r="P3363" s="185"/>
      <c r="Q3363" s="185"/>
    </row>
    <row r="3364" spans="1:17" hidden="1" outlineLevel="1">
      <c r="A3364" s="2">
        <v>8</v>
      </c>
      <c r="B3364" s="2">
        <v>2</v>
      </c>
      <c r="C3364" s="2" t="e">
        <f>1+#REF!</f>
        <v>#REF!</v>
      </c>
      <c r="E3364" s="20" t="e">
        <f>CONCATENATE(A3364,".",B3364,".",C3364)</f>
        <v>#REF!</v>
      </c>
      <c r="F3364" s="120"/>
      <c r="G3364" s="136"/>
      <c r="H3364" s="118" t="s">
        <v>2847</v>
      </c>
      <c r="I3364" s="137"/>
      <c r="J3364" s="146"/>
      <c r="K3364" s="138"/>
      <c r="L3364" s="134"/>
      <c r="M3364" s="140"/>
      <c r="N3364" s="134">
        <v>204.27</v>
      </c>
      <c r="O3364" s="139">
        <f>ROUND(PRODUCT(J3364:N3364),2)</f>
        <v>204.27</v>
      </c>
      <c r="P3364" s="185"/>
      <c r="Q3364" s="185"/>
    </row>
    <row r="3365" spans="1:17" ht="30" hidden="1" outlineLevel="1">
      <c r="A3365" s="2">
        <v>8</v>
      </c>
      <c r="B3365" s="2">
        <v>2</v>
      </c>
      <c r="C3365" s="2" t="e">
        <f>1+C3364</f>
        <v>#REF!</v>
      </c>
      <c r="E3365" s="20" t="e">
        <f>CONCATENATE(A3365,".",B3365,".",C3365)</f>
        <v>#REF!</v>
      </c>
      <c r="F3365" s="120" t="s">
        <v>4441</v>
      </c>
      <c r="G3365" s="113">
        <v>92764</v>
      </c>
      <c r="H3365" s="114" t="s">
        <v>95</v>
      </c>
      <c r="I3365" s="115" t="s">
        <v>80</v>
      </c>
      <c r="J3365" s="147"/>
      <c r="K3365" s="132"/>
      <c r="L3365" s="133"/>
      <c r="M3365" s="142"/>
      <c r="N3365" s="134"/>
      <c r="O3365" s="135">
        <f>SUM(O3366:O3366)</f>
        <v>850.64</v>
      </c>
      <c r="P3365" s="185"/>
      <c r="Q3365" s="185"/>
    </row>
    <row r="3366" spans="1:17" hidden="1" outlineLevel="1">
      <c r="E3366" s="20"/>
      <c r="F3366" s="120"/>
      <c r="G3366" s="136"/>
      <c r="H3366" s="118" t="s">
        <v>2847</v>
      </c>
      <c r="I3366" s="137"/>
      <c r="J3366" s="146"/>
      <c r="K3366" s="138"/>
      <c r="L3366" s="134"/>
      <c r="M3366" s="140"/>
      <c r="N3366" s="134">
        <v>850.64</v>
      </c>
      <c r="O3366" s="139">
        <f>ROUND(PRODUCT(J3366:N3366),2)</f>
        <v>850.64</v>
      </c>
      <c r="P3366" s="185"/>
      <c r="Q3366" s="185"/>
    </row>
    <row r="3367" spans="1:17" ht="45" hidden="1" outlineLevel="1">
      <c r="A3367" s="2">
        <v>8</v>
      </c>
      <c r="B3367" s="2">
        <v>2</v>
      </c>
      <c r="C3367" s="2" t="e">
        <f>1+#REF!</f>
        <v>#REF!</v>
      </c>
      <c r="E3367" s="20" t="e">
        <f>CONCATENATE(A3367,".",B3367,".",C3367)</f>
        <v>#REF!</v>
      </c>
      <c r="F3367" s="120" t="s">
        <v>4442</v>
      </c>
      <c r="G3367" s="113">
        <v>92443</v>
      </c>
      <c r="H3367" s="114" t="s">
        <v>101</v>
      </c>
      <c r="I3367" s="115" t="s">
        <v>276</v>
      </c>
      <c r="J3367" s="147"/>
      <c r="K3367" s="132"/>
      <c r="L3367" s="133"/>
      <c r="M3367" s="142"/>
      <c r="N3367" s="134"/>
      <c r="O3367" s="135">
        <f>SUM(O3368)</f>
        <v>148</v>
      </c>
      <c r="P3367" s="185"/>
      <c r="Q3367" s="185"/>
    </row>
    <row r="3368" spans="1:17" hidden="1" outlineLevel="1">
      <c r="E3368" s="20"/>
      <c r="F3368" s="120"/>
      <c r="G3368" s="136"/>
      <c r="H3368" s="118" t="s">
        <v>2847</v>
      </c>
      <c r="I3368" s="137"/>
      <c r="J3368" s="146"/>
      <c r="K3368" s="138"/>
      <c r="L3368" s="134"/>
      <c r="M3368" s="140"/>
      <c r="N3368" s="134">
        <v>148</v>
      </c>
      <c r="O3368" s="139">
        <f>ROUND(PRODUCT(J3368:N3368),2)</f>
        <v>148</v>
      </c>
      <c r="P3368" s="185"/>
      <c r="Q3368" s="185"/>
    </row>
    <row r="3369" spans="1:17" ht="30" hidden="1" outlineLevel="1">
      <c r="E3369" s="20"/>
      <c r="F3369" s="120" t="s">
        <v>4443</v>
      </c>
      <c r="G3369" s="113">
        <v>100068</v>
      </c>
      <c r="H3369" s="114" t="s">
        <v>1447</v>
      </c>
      <c r="I3369" s="115" t="s">
        <v>80</v>
      </c>
      <c r="J3369" s="131"/>
      <c r="K3369" s="132"/>
      <c r="L3369" s="133"/>
      <c r="M3369" s="132"/>
      <c r="N3369" s="134"/>
      <c r="O3369" s="135">
        <f>SUM(O3370:O3370)</f>
        <v>408.82</v>
      </c>
      <c r="P3369" s="185"/>
      <c r="Q3369" s="185"/>
    </row>
    <row r="3370" spans="1:17" hidden="1" outlineLevel="1">
      <c r="A3370" s="2">
        <v>8</v>
      </c>
      <c r="B3370" s="2">
        <v>2</v>
      </c>
      <c r="C3370" s="2" t="e">
        <f>1+#REF!</f>
        <v>#REF!</v>
      </c>
      <c r="E3370" s="20" t="e">
        <f>CONCATENATE(A3370,".",B3370,".",C3370)</f>
        <v>#REF!</v>
      </c>
      <c r="F3370" s="120"/>
      <c r="G3370" s="136"/>
      <c r="H3370" s="118"/>
      <c r="I3370" s="137"/>
      <c r="J3370" s="146"/>
      <c r="K3370" s="138"/>
      <c r="L3370" s="134"/>
      <c r="M3370" s="138"/>
      <c r="N3370" s="134">
        <v>408.82</v>
      </c>
      <c r="O3370" s="139">
        <f>ROUND(PRODUCT(J3370:N3370),2)</f>
        <v>408.82</v>
      </c>
      <c r="P3370" s="185"/>
      <c r="Q3370" s="185"/>
    </row>
    <row r="3371" spans="1:17" ht="45" hidden="1" outlineLevel="1">
      <c r="E3371" s="20"/>
      <c r="F3371" s="120" t="s">
        <v>4444</v>
      </c>
      <c r="G3371" s="113">
        <v>92922</v>
      </c>
      <c r="H3371" s="114" t="s">
        <v>1450</v>
      </c>
      <c r="I3371" s="115" t="s">
        <v>80</v>
      </c>
      <c r="J3371" s="131"/>
      <c r="K3371" s="132"/>
      <c r="L3371" s="133"/>
      <c r="M3371" s="132"/>
      <c r="N3371" s="134"/>
      <c r="O3371" s="135">
        <f>SUM(O3372:O3372)</f>
        <v>510.74</v>
      </c>
      <c r="P3371" s="185"/>
      <c r="Q3371" s="185"/>
    </row>
    <row r="3372" spans="1:17" hidden="1" outlineLevel="1">
      <c r="A3372" s="2">
        <v>8</v>
      </c>
      <c r="B3372" s="2">
        <v>2</v>
      </c>
      <c r="C3372" s="2" t="e">
        <f>1+C3370</f>
        <v>#REF!</v>
      </c>
      <c r="E3372" s="20" t="e">
        <f>CONCATENATE(A3372,".",B3372,".",C3372)</f>
        <v>#REF!</v>
      </c>
      <c r="F3372" s="120"/>
      <c r="G3372" s="136"/>
      <c r="H3372" s="118"/>
      <c r="I3372" s="137"/>
      <c r="J3372" s="146"/>
      <c r="K3372" s="138"/>
      <c r="L3372" s="134"/>
      <c r="M3372" s="138"/>
      <c r="N3372" s="134">
        <v>510.74</v>
      </c>
      <c r="O3372" s="139">
        <f>ROUND(PRODUCT(J3372:N3372),2)</f>
        <v>510.74</v>
      </c>
      <c r="P3372" s="185"/>
      <c r="Q3372" s="185"/>
    </row>
    <row r="3373" spans="1:17" ht="30" hidden="1" outlineLevel="1">
      <c r="E3373" s="20"/>
      <c r="F3373" s="120" t="s">
        <v>4445</v>
      </c>
      <c r="G3373" s="113">
        <v>92538</v>
      </c>
      <c r="H3373" s="114" t="s">
        <v>122</v>
      </c>
      <c r="I3373" s="115" t="s">
        <v>45</v>
      </c>
      <c r="J3373" s="131"/>
      <c r="K3373" s="132"/>
      <c r="L3373" s="133"/>
      <c r="M3373" s="132"/>
      <c r="N3373" s="134"/>
      <c r="O3373" s="135">
        <f>SUM(O3374)</f>
        <v>459</v>
      </c>
      <c r="P3373" s="185"/>
      <c r="Q3373" s="185"/>
    </row>
    <row r="3374" spans="1:17" hidden="1" outlineLevel="1">
      <c r="A3374" s="2">
        <v>8</v>
      </c>
      <c r="B3374" s="2">
        <v>2</v>
      </c>
      <c r="C3374" s="2" t="e">
        <f>1+#REF!</f>
        <v>#REF!</v>
      </c>
      <c r="E3374" s="20" t="e">
        <f>CONCATENATE(A3374,".",B3374,".",C3374)</f>
        <v>#REF!</v>
      </c>
      <c r="F3374" s="120"/>
      <c r="G3374" s="136"/>
      <c r="H3374" s="118"/>
      <c r="I3374" s="137"/>
      <c r="J3374" s="143"/>
      <c r="K3374" s="138"/>
      <c r="L3374" s="134"/>
      <c r="M3374" s="138"/>
      <c r="N3374" s="138">
        <v>459</v>
      </c>
      <c r="O3374" s="139">
        <f>ROUND(PRODUCT(J3374:N3374),2)</f>
        <v>459</v>
      </c>
      <c r="P3374" s="185"/>
      <c r="Q3374" s="185"/>
    </row>
    <row r="3375" spans="1:17" ht="45" hidden="1" outlineLevel="1">
      <c r="E3375" s="20"/>
      <c r="F3375" s="120" t="s">
        <v>4446</v>
      </c>
      <c r="G3375" s="113">
        <v>604</v>
      </c>
      <c r="H3375" s="114" t="s">
        <v>2846</v>
      </c>
      <c r="I3375" s="115" t="s">
        <v>2815</v>
      </c>
      <c r="J3375" s="131"/>
      <c r="K3375" s="132"/>
      <c r="L3375" s="133"/>
      <c r="M3375" s="132"/>
      <c r="N3375" s="134"/>
      <c r="O3375" s="135">
        <f>SUM(O3376:O3377)</f>
        <v>91.8</v>
      </c>
      <c r="P3375" s="185"/>
      <c r="Q3375" s="185"/>
    </row>
    <row r="3376" spans="1:17" hidden="1" outlineLevel="1">
      <c r="E3376" s="20"/>
      <c r="F3376" s="21"/>
      <c r="G3376" s="34"/>
      <c r="H3376" s="30" t="s">
        <v>2869</v>
      </c>
      <c r="I3376" s="35"/>
      <c r="J3376" s="40"/>
      <c r="K3376" s="33"/>
      <c r="L3376" s="41"/>
      <c r="M3376" s="33"/>
      <c r="N3376" s="33">
        <v>14.8</v>
      </c>
      <c r="O3376" s="31">
        <f>ROUND(PRODUCT(J3376:N3376),2)</f>
        <v>14.8</v>
      </c>
      <c r="P3376" s="185"/>
      <c r="Q3376" s="185"/>
    </row>
    <row r="3377" spans="1:17" hidden="1" outlineLevel="1">
      <c r="E3377" s="20"/>
      <c r="F3377" s="21"/>
      <c r="G3377" s="34"/>
      <c r="H3377" s="30" t="s">
        <v>4447</v>
      </c>
      <c r="I3377" s="35"/>
      <c r="J3377" s="40"/>
      <c r="K3377" s="33"/>
      <c r="L3377" s="41"/>
      <c r="M3377" s="33"/>
      <c r="N3377" s="33">
        <v>77</v>
      </c>
      <c r="O3377" s="31">
        <f>ROUND(PRODUCT(J3377:N3377),2)</f>
        <v>77</v>
      </c>
      <c r="P3377" s="185"/>
      <c r="Q3377" s="185"/>
    </row>
    <row r="3378" spans="1:17" collapsed="1">
      <c r="A3378" s="2">
        <v>8</v>
      </c>
      <c r="B3378" s="2">
        <v>3</v>
      </c>
      <c r="E3378" s="42" t="str">
        <f>CONCATENATE(A3378,".",B3378)</f>
        <v>8.3</v>
      </c>
      <c r="F3378" s="45" t="s">
        <v>4448</v>
      </c>
      <c r="G3378" s="13"/>
      <c r="H3378" s="14" t="s">
        <v>134</v>
      </c>
      <c r="I3378" s="15"/>
      <c r="J3378" s="16"/>
      <c r="K3378" s="17"/>
      <c r="L3378" s="16"/>
      <c r="M3378" s="17"/>
      <c r="N3378" s="18"/>
      <c r="O3378" s="19"/>
      <c r="P3378" s="185"/>
      <c r="Q3378" s="185"/>
    </row>
    <row r="3379" spans="1:17" ht="45" hidden="1" outlineLevel="1">
      <c r="A3379" s="2">
        <v>8</v>
      </c>
      <c r="B3379" s="2">
        <v>3</v>
      </c>
      <c r="C3379" s="2">
        <v>1</v>
      </c>
      <c r="E3379" s="20" t="str">
        <f>CONCATENATE(A3379,".",B3379,".",C3379)</f>
        <v>8.3.1</v>
      </c>
      <c r="F3379" s="21" t="s">
        <v>4449</v>
      </c>
      <c r="G3379" s="22" t="s">
        <v>976</v>
      </c>
      <c r="H3379" s="23" t="s">
        <v>977</v>
      </c>
      <c r="I3379" s="24" t="s">
        <v>45</v>
      </c>
      <c r="J3379" s="25"/>
      <c r="K3379" s="10"/>
      <c r="L3379" s="32"/>
      <c r="M3379" s="10"/>
      <c r="N3379" s="33"/>
      <c r="O3379" s="27">
        <f>SUM(O3380:O3381)</f>
        <v>45.269999999999996</v>
      </c>
      <c r="P3379" s="185"/>
      <c r="Q3379" s="185"/>
    </row>
    <row r="3380" spans="1:17" hidden="1" outlineLevel="2">
      <c r="E3380" s="59"/>
      <c r="F3380" s="60"/>
      <c r="G3380" s="34"/>
      <c r="H3380" s="30" t="s">
        <v>4450</v>
      </c>
      <c r="I3380" s="35"/>
      <c r="J3380" s="41"/>
      <c r="K3380" s="33">
        <v>15.72</v>
      </c>
      <c r="L3380" s="41"/>
      <c r="M3380" s="33">
        <v>3</v>
      </c>
      <c r="N3380" s="33"/>
      <c r="O3380" s="31">
        <f>ROUND(PRODUCT(J3380:N3380),2)</f>
        <v>47.16</v>
      </c>
      <c r="P3380" s="185"/>
    </row>
    <row r="3381" spans="1:17" hidden="1" outlineLevel="2">
      <c r="E3381" s="59"/>
      <c r="F3381" s="60"/>
      <c r="G3381" s="34"/>
      <c r="H3381" s="30" t="str">
        <f>_xlfn.CONCAT(H3380," - VÃO")</f>
        <v>CASA DE BOMBA - VÃO</v>
      </c>
      <c r="I3381" s="35"/>
      <c r="J3381" s="41">
        <v>-1</v>
      </c>
      <c r="K3381" s="33"/>
      <c r="L3381" s="41"/>
      <c r="M3381" s="33"/>
      <c r="N3381" s="33">
        <f>0.9*2.1</f>
        <v>1.8900000000000001</v>
      </c>
      <c r="O3381" s="31">
        <f>ROUND(PRODUCT(J3381:N3381),2)</f>
        <v>-1.89</v>
      </c>
      <c r="P3381" s="185"/>
    </row>
    <row r="3382" spans="1:17" hidden="1" outlineLevel="1">
      <c r="A3382" s="2">
        <v>8</v>
      </c>
      <c r="B3382" s="2">
        <v>3</v>
      </c>
      <c r="C3382" s="2" t="e">
        <f>#REF!+1</f>
        <v>#REF!</v>
      </c>
      <c r="E3382" s="20" t="e">
        <f>CONCATENATE(A3382,".",B3382,".",C3382)</f>
        <v>#REF!</v>
      </c>
      <c r="F3382" s="21" t="s">
        <v>4451</v>
      </c>
      <c r="G3382" s="22" t="s">
        <v>1456</v>
      </c>
      <c r="H3382" s="23" t="s">
        <v>4452</v>
      </c>
      <c r="I3382" s="24" t="s">
        <v>144</v>
      </c>
      <c r="J3382" s="25"/>
      <c r="K3382" s="10"/>
      <c r="L3382" s="32"/>
      <c r="M3382" s="10"/>
      <c r="N3382" s="33"/>
      <c r="O3382" s="27">
        <f>SUM(O3383)</f>
        <v>1.89</v>
      </c>
      <c r="P3382" s="185"/>
      <c r="Q3382" s="185"/>
    </row>
    <row r="3383" spans="1:17" hidden="1" outlineLevel="2">
      <c r="E3383" s="59"/>
      <c r="F3383" s="60"/>
      <c r="G3383" s="34"/>
      <c r="H3383" s="30" t="s">
        <v>3704</v>
      </c>
      <c r="I3383" s="35"/>
      <c r="J3383" s="41"/>
      <c r="K3383" s="33">
        <v>0.9</v>
      </c>
      <c r="L3383" s="41">
        <v>2.1</v>
      </c>
      <c r="M3383" s="33"/>
      <c r="N3383" s="33">
        <v>1</v>
      </c>
      <c r="O3383" s="31">
        <f>ROUND(PRODUCT(J3383:N3383),2)</f>
        <v>1.89</v>
      </c>
      <c r="P3383" s="185"/>
    </row>
    <row r="3384" spans="1:17" collapsed="1">
      <c r="A3384" s="2">
        <v>8</v>
      </c>
      <c r="B3384" s="2">
        <v>5</v>
      </c>
      <c r="E3384" s="42" t="str">
        <f>CONCATENATE(A3384,".",B3384)</f>
        <v>8.5</v>
      </c>
      <c r="F3384" s="45" t="s">
        <v>4453</v>
      </c>
      <c r="G3384" s="13"/>
      <c r="H3384" s="14" t="s">
        <v>190</v>
      </c>
      <c r="I3384" s="13"/>
      <c r="J3384" s="16"/>
      <c r="K3384" s="17"/>
      <c r="L3384" s="16"/>
      <c r="M3384" s="17"/>
      <c r="N3384" s="18"/>
      <c r="O3384" s="61"/>
      <c r="P3384" s="185"/>
      <c r="Q3384" s="185"/>
    </row>
    <row r="3385" spans="1:17" ht="30" hidden="1" outlineLevel="1">
      <c r="A3385" s="2">
        <v>8</v>
      </c>
      <c r="B3385" s="2">
        <v>5</v>
      </c>
      <c r="C3385" s="2">
        <v>1</v>
      </c>
      <c r="E3385" s="20" t="str">
        <f>CONCATENATE(A3385,".",B3385,".",C3385)</f>
        <v>8.5.1</v>
      </c>
      <c r="F3385" s="21" t="s">
        <v>4454</v>
      </c>
      <c r="G3385" s="113">
        <v>98562</v>
      </c>
      <c r="H3385" s="114" t="s">
        <v>193</v>
      </c>
      <c r="I3385" s="24" t="s">
        <v>276</v>
      </c>
      <c r="J3385" s="32"/>
      <c r="K3385" s="10"/>
      <c r="L3385" s="32"/>
      <c r="M3385" s="10"/>
      <c r="N3385" s="10"/>
      <c r="O3385" s="11">
        <f>SUM(O3386:O3393)</f>
        <v>258.66999999999996</v>
      </c>
      <c r="P3385" s="185"/>
      <c r="Q3385" s="185"/>
    </row>
    <row r="3386" spans="1:17" hidden="1" outlineLevel="2">
      <c r="E3386" s="20"/>
      <c r="F3386" s="21"/>
      <c r="G3386" s="22"/>
      <c r="H3386" s="30" t="s">
        <v>3653</v>
      </c>
      <c r="I3386" s="35"/>
      <c r="J3386" s="41"/>
      <c r="K3386" s="33"/>
      <c r="L3386" s="41"/>
      <c r="M3386" s="33"/>
      <c r="N3386" s="33">
        <v>19.63</v>
      </c>
      <c r="O3386" s="58">
        <f t="shared" ref="O3386:O3393" si="85">ROUND(PRODUCT(J3386:N3386),2)</f>
        <v>19.63</v>
      </c>
      <c r="P3386" s="185"/>
      <c r="Q3386" s="185"/>
    </row>
    <row r="3387" spans="1:17" hidden="1" outlineLevel="2">
      <c r="E3387" s="20"/>
      <c r="F3387" s="21"/>
      <c r="G3387" s="22"/>
      <c r="H3387" s="30" t="s">
        <v>4455</v>
      </c>
      <c r="I3387" s="35"/>
      <c r="J3387" s="41"/>
      <c r="K3387" s="33"/>
      <c r="L3387" s="41"/>
      <c r="M3387" s="33"/>
      <c r="N3387" s="33">
        <v>19.63</v>
      </c>
      <c r="O3387" s="58">
        <f t="shared" si="85"/>
        <v>19.63</v>
      </c>
      <c r="P3387" s="185"/>
      <c r="Q3387" s="185"/>
    </row>
    <row r="3388" spans="1:17" hidden="1" outlineLevel="2">
      <c r="E3388" s="20"/>
      <c r="F3388" s="21"/>
      <c r="G3388" s="22"/>
      <c r="H3388" s="30" t="s">
        <v>4456</v>
      </c>
      <c r="I3388" s="35"/>
      <c r="J3388" s="41"/>
      <c r="K3388" s="33"/>
      <c r="L3388" s="41"/>
      <c r="M3388" s="33"/>
      <c r="N3388" s="33">
        <v>19.63</v>
      </c>
      <c r="O3388" s="58">
        <f t="shared" si="85"/>
        <v>19.63</v>
      </c>
      <c r="P3388" s="185"/>
      <c r="Q3388" s="185"/>
    </row>
    <row r="3389" spans="1:17" hidden="1" outlineLevel="2">
      <c r="E3389" s="20"/>
      <c r="F3389" s="21"/>
      <c r="G3389" s="22"/>
      <c r="H3389" s="30" t="s">
        <v>4457</v>
      </c>
      <c r="I3389" s="35"/>
      <c r="J3389" s="41"/>
      <c r="K3389" s="33"/>
      <c r="L3389" s="41"/>
      <c r="M3389" s="33">
        <v>2.5</v>
      </c>
      <c r="N3389" s="33">
        <v>14.83</v>
      </c>
      <c r="O3389" s="58">
        <f t="shared" si="85"/>
        <v>37.08</v>
      </c>
      <c r="P3389" s="185"/>
      <c r="Q3389" s="185"/>
    </row>
    <row r="3390" spans="1:17" hidden="1" outlineLevel="2">
      <c r="E3390" s="20"/>
      <c r="F3390" s="21"/>
      <c r="G3390" s="22"/>
      <c r="H3390" s="30" t="s">
        <v>4450</v>
      </c>
      <c r="I3390" s="35"/>
      <c r="J3390" s="41"/>
      <c r="K3390" s="33"/>
      <c r="L3390" s="41"/>
      <c r="M3390" s="33"/>
      <c r="N3390" s="33">
        <v>19.63</v>
      </c>
      <c r="O3390" s="58">
        <f t="shared" si="85"/>
        <v>19.63</v>
      </c>
      <c r="P3390" s="185"/>
      <c r="Q3390" s="185"/>
    </row>
    <row r="3391" spans="1:17" hidden="1" outlineLevel="2">
      <c r="E3391" s="20"/>
      <c r="F3391" s="21"/>
      <c r="G3391" s="22"/>
      <c r="H3391" s="30" t="s">
        <v>4455</v>
      </c>
      <c r="I3391" s="35"/>
      <c r="J3391" s="41"/>
      <c r="K3391" s="33"/>
      <c r="L3391" s="41"/>
      <c r="M3391" s="33"/>
      <c r="N3391" s="33">
        <v>19.63</v>
      </c>
      <c r="O3391" s="58">
        <f t="shared" si="85"/>
        <v>19.63</v>
      </c>
      <c r="P3391" s="185"/>
      <c r="Q3391" s="185"/>
    </row>
    <row r="3392" spans="1:17" hidden="1" outlineLevel="2">
      <c r="E3392" s="20"/>
      <c r="F3392" s="21"/>
      <c r="G3392" s="22"/>
      <c r="H3392" s="30" t="s">
        <v>4456</v>
      </c>
      <c r="I3392" s="35"/>
      <c r="J3392" s="41"/>
      <c r="K3392" s="33"/>
      <c r="L3392" s="41"/>
      <c r="M3392" s="33"/>
      <c r="N3392" s="33">
        <v>19.63</v>
      </c>
      <c r="O3392" s="58">
        <f t="shared" si="85"/>
        <v>19.63</v>
      </c>
      <c r="P3392" s="185"/>
      <c r="Q3392" s="185"/>
    </row>
    <row r="3393" spans="1:17" hidden="1" outlineLevel="2">
      <c r="E3393" s="20"/>
      <c r="F3393" s="21"/>
      <c r="G3393" s="22"/>
      <c r="H3393" s="30" t="s">
        <v>4457</v>
      </c>
      <c r="I3393" s="35"/>
      <c r="J3393" s="41"/>
      <c r="K3393" s="33"/>
      <c r="L3393" s="41"/>
      <c r="M3393" s="33">
        <v>7</v>
      </c>
      <c r="N3393" s="33">
        <v>14.83</v>
      </c>
      <c r="O3393" s="58">
        <f t="shared" si="85"/>
        <v>103.81</v>
      </c>
      <c r="P3393" s="185"/>
      <c r="Q3393" s="185"/>
    </row>
    <row r="3394" spans="1:17" ht="30" hidden="1" outlineLevel="1">
      <c r="A3394" s="2">
        <v>8</v>
      </c>
      <c r="B3394" s="2">
        <v>5</v>
      </c>
      <c r="C3394" s="2">
        <f>C3385+1</f>
        <v>2</v>
      </c>
      <c r="E3394" s="20" t="str">
        <f>CONCATENATE(A3394,".",B3394,".",C3394)</f>
        <v>8.5.2</v>
      </c>
      <c r="F3394" s="21" t="s">
        <v>4458</v>
      </c>
      <c r="G3394" s="22">
        <v>1294</v>
      </c>
      <c r="H3394" s="23" t="s">
        <v>2983</v>
      </c>
      <c r="I3394" s="24" t="s">
        <v>45</v>
      </c>
      <c r="J3394" s="32"/>
      <c r="K3394" s="10"/>
      <c r="L3394" s="32"/>
      <c r="M3394" s="10"/>
      <c r="N3394" s="10"/>
      <c r="O3394" s="11">
        <f>SUM(O3395:O3404)</f>
        <v>268.41999999999996</v>
      </c>
      <c r="P3394" s="185"/>
      <c r="Q3394" s="185"/>
    </row>
    <row r="3395" spans="1:17" hidden="1" outlineLevel="2">
      <c r="E3395" s="20"/>
      <c r="F3395" s="21"/>
      <c r="G3395" s="22"/>
      <c r="H3395" s="30" t="s">
        <v>3653</v>
      </c>
      <c r="I3395" s="35"/>
      <c r="J3395" s="41"/>
      <c r="K3395" s="33"/>
      <c r="L3395" s="41"/>
      <c r="M3395" s="33"/>
      <c r="N3395" s="33">
        <v>19.63</v>
      </c>
      <c r="O3395" s="58">
        <f t="shared" ref="O3395:O3402" si="86">ROUND(PRODUCT(J3395:N3395),2)</f>
        <v>19.63</v>
      </c>
      <c r="P3395" s="185"/>
      <c r="Q3395" s="185"/>
    </row>
    <row r="3396" spans="1:17" hidden="1" outlineLevel="2">
      <c r="E3396" s="20"/>
      <c r="F3396" s="21"/>
      <c r="G3396" s="22"/>
      <c r="H3396" s="30" t="s">
        <v>4455</v>
      </c>
      <c r="I3396" s="35"/>
      <c r="J3396" s="41"/>
      <c r="K3396" s="33"/>
      <c r="L3396" s="41"/>
      <c r="M3396" s="33"/>
      <c r="N3396" s="33">
        <v>19.63</v>
      </c>
      <c r="O3396" s="58">
        <f t="shared" si="86"/>
        <v>19.63</v>
      </c>
      <c r="P3396" s="185"/>
      <c r="Q3396" s="185"/>
    </row>
    <row r="3397" spans="1:17" hidden="1" outlineLevel="2">
      <c r="E3397" s="20"/>
      <c r="F3397" s="21"/>
      <c r="G3397" s="22"/>
      <c r="H3397" s="30" t="s">
        <v>4456</v>
      </c>
      <c r="I3397" s="35"/>
      <c r="J3397" s="41"/>
      <c r="K3397" s="33"/>
      <c r="L3397" s="41"/>
      <c r="M3397" s="33"/>
      <c r="N3397" s="33">
        <v>19.63</v>
      </c>
      <c r="O3397" s="58">
        <f t="shared" si="86"/>
        <v>19.63</v>
      </c>
      <c r="P3397" s="185"/>
      <c r="Q3397" s="185"/>
    </row>
    <row r="3398" spans="1:17" hidden="1" outlineLevel="2">
      <c r="E3398" s="20"/>
      <c r="F3398" s="21"/>
      <c r="G3398" s="22"/>
      <c r="H3398" s="30" t="s">
        <v>4457</v>
      </c>
      <c r="I3398" s="35"/>
      <c r="J3398" s="41"/>
      <c r="K3398" s="33"/>
      <c r="L3398" s="41"/>
      <c r="M3398" s="33">
        <v>2.5</v>
      </c>
      <c r="N3398" s="33">
        <v>14.83</v>
      </c>
      <c r="O3398" s="58">
        <f t="shared" si="86"/>
        <v>37.08</v>
      </c>
      <c r="P3398" s="185"/>
      <c r="Q3398" s="185"/>
    </row>
    <row r="3399" spans="1:17" hidden="1" outlineLevel="2">
      <c r="E3399" s="20"/>
      <c r="F3399" s="21"/>
      <c r="G3399" s="22"/>
      <c r="H3399" s="30" t="s">
        <v>4450</v>
      </c>
      <c r="I3399" s="35"/>
      <c r="J3399" s="41"/>
      <c r="K3399" s="33"/>
      <c r="L3399" s="41"/>
      <c r="M3399" s="33"/>
      <c r="N3399" s="33">
        <v>19.63</v>
      </c>
      <c r="O3399" s="58">
        <f t="shared" si="86"/>
        <v>19.63</v>
      </c>
      <c r="P3399" s="185"/>
      <c r="Q3399" s="185"/>
    </row>
    <row r="3400" spans="1:17" hidden="1" outlineLevel="2">
      <c r="E3400" s="20"/>
      <c r="F3400" s="21"/>
      <c r="G3400" s="22"/>
      <c r="H3400" s="30" t="s">
        <v>4455</v>
      </c>
      <c r="I3400" s="35"/>
      <c r="J3400" s="41"/>
      <c r="K3400" s="33"/>
      <c r="L3400" s="41"/>
      <c r="M3400" s="33"/>
      <c r="N3400" s="33">
        <v>19.63</v>
      </c>
      <c r="O3400" s="58">
        <f t="shared" si="86"/>
        <v>19.63</v>
      </c>
      <c r="P3400" s="185"/>
      <c r="Q3400" s="185"/>
    </row>
    <row r="3401" spans="1:17" hidden="1" outlineLevel="2">
      <c r="E3401" s="20"/>
      <c r="F3401" s="21"/>
      <c r="G3401" s="22"/>
      <c r="H3401" s="30" t="s">
        <v>4456</v>
      </c>
      <c r="I3401" s="35"/>
      <c r="J3401" s="41"/>
      <c r="K3401" s="33"/>
      <c r="L3401" s="41"/>
      <c r="M3401" s="33"/>
      <c r="N3401" s="33">
        <v>19.63</v>
      </c>
      <c r="O3401" s="58">
        <f t="shared" si="86"/>
        <v>19.63</v>
      </c>
      <c r="P3401" s="185"/>
      <c r="Q3401" s="185"/>
    </row>
    <row r="3402" spans="1:17" hidden="1" outlineLevel="2">
      <c r="E3402" s="20"/>
      <c r="F3402" s="21"/>
      <c r="G3402" s="22"/>
      <c r="H3402" s="30" t="s">
        <v>4457</v>
      </c>
      <c r="I3402" s="35"/>
      <c r="J3402" s="41"/>
      <c r="K3402" s="33"/>
      <c r="L3402" s="41"/>
      <c r="M3402" s="33">
        <v>7</v>
      </c>
      <c r="N3402" s="33">
        <v>14.83</v>
      </c>
      <c r="O3402" s="58">
        <f t="shared" si="86"/>
        <v>103.81</v>
      </c>
      <c r="P3402" s="185"/>
      <c r="Q3402" s="185"/>
    </row>
    <row r="3403" spans="1:17" hidden="1" outlineLevel="2">
      <c r="E3403" s="20"/>
      <c r="F3403" s="21"/>
      <c r="G3403" s="22"/>
      <c r="H3403" s="30" t="s">
        <v>4459</v>
      </c>
      <c r="I3403" s="35"/>
      <c r="J3403" s="41"/>
      <c r="K3403" s="41">
        <v>14.83</v>
      </c>
      <c r="L3403" s="41"/>
      <c r="M3403" s="33">
        <v>0.7</v>
      </c>
      <c r="N3403" s="33"/>
      <c r="O3403" s="58">
        <f>ROUND(PRODUCT(J3403:N3403),2)</f>
        <v>10.38</v>
      </c>
      <c r="P3403" s="185"/>
      <c r="Q3403" s="185"/>
    </row>
    <row r="3404" spans="1:17" hidden="1" outlineLevel="2">
      <c r="E3404" s="20"/>
      <c r="F3404" s="21"/>
      <c r="G3404" s="22"/>
      <c r="H3404" s="30" t="str">
        <f>_xlfn.CONCAT(H3403," - VÃO")</f>
        <v>CASA DE BOMBA - PAREDE - VÃO</v>
      </c>
      <c r="I3404" s="35"/>
      <c r="J3404" s="41">
        <v>-1</v>
      </c>
      <c r="K3404" s="41"/>
      <c r="L3404" s="41"/>
      <c r="M3404" s="33">
        <v>0.7</v>
      </c>
      <c r="N3404" s="33">
        <v>0.9</v>
      </c>
      <c r="O3404" s="58">
        <f>ROUND(PRODUCT(J3404:N3404),2)</f>
        <v>-0.63</v>
      </c>
      <c r="P3404" s="185"/>
      <c r="Q3404" s="185"/>
    </row>
    <row r="3405" spans="1:17" ht="30" hidden="1" outlineLevel="1">
      <c r="A3405" s="2">
        <v>8</v>
      </c>
      <c r="B3405" s="2">
        <v>5</v>
      </c>
      <c r="C3405" s="2">
        <f>C3394+1</f>
        <v>3</v>
      </c>
      <c r="E3405" s="20" t="str">
        <f>CONCATENATE(A3405,".",B3405,".",C3405)</f>
        <v>8.5.3</v>
      </c>
      <c r="F3405" s="21" t="s">
        <v>4460</v>
      </c>
      <c r="G3405" s="22" t="s">
        <v>1303</v>
      </c>
      <c r="H3405" s="23" t="s">
        <v>1304</v>
      </c>
      <c r="I3405" s="24" t="s">
        <v>45</v>
      </c>
      <c r="J3405" s="32"/>
      <c r="K3405" s="10"/>
      <c r="L3405" s="32"/>
      <c r="M3405" s="10"/>
      <c r="N3405" s="10"/>
      <c r="O3405" s="11">
        <f>SUM(O3406:O3406)</f>
        <v>19.63</v>
      </c>
      <c r="P3405" s="185"/>
      <c r="Q3405" s="185"/>
    </row>
    <row r="3406" spans="1:17" hidden="1" outlineLevel="2">
      <c r="E3406" s="20"/>
      <c r="F3406" s="21"/>
      <c r="G3406" s="22"/>
      <c r="H3406" s="30" t="s">
        <v>3653</v>
      </c>
      <c r="I3406" s="35"/>
      <c r="J3406" s="41"/>
      <c r="K3406" s="33"/>
      <c r="L3406" s="41"/>
      <c r="M3406" s="33"/>
      <c r="N3406" s="33">
        <v>19.63</v>
      </c>
      <c r="O3406" s="58">
        <f>ROUND(PRODUCT(J3406:N3406),2)</f>
        <v>19.63</v>
      </c>
      <c r="P3406" s="185"/>
      <c r="Q3406" s="185"/>
    </row>
    <row r="3407" spans="1:17" ht="30" hidden="1" outlineLevel="1">
      <c r="A3407" s="2">
        <v>8</v>
      </c>
      <c r="B3407" s="2">
        <v>5</v>
      </c>
      <c r="C3407" s="2">
        <f>1+C3405</f>
        <v>4</v>
      </c>
      <c r="E3407" s="20" t="str">
        <f>CONCATENATE(A3407,".",B3407,".",C3407)</f>
        <v>8.5.4</v>
      </c>
      <c r="F3407" s="21" t="s">
        <v>4461</v>
      </c>
      <c r="G3407" s="22">
        <v>98557</v>
      </c>
      <c r="H3407" s="23" t="s">
        <v>202</v>
      </c>
      <c r="I3407" s="24" t="s">
        <v>45</v>
      </c>
      <c r="J3407" s="32"/>
      <c r="K3407" s="10"/>
      <c r="L3407" s="32"/>
      <c r="M3407" s="10"/>
      <c r="N3407" s="10"/>
      <c r="O3407" s="11">
        <f>SUM(O3408:O3408)</f>
        <v>65.55</v>
      </c>
      <c r="P3407" s="185"/>
      <c r="Q3407" s="185"/>
    </row>
    <row r="3408" spans="1:17" hidden="1" outlineLevel="2">
      <c r="E3408" s="20"/>
      <c r="F3408" s="21"/>
      <c r="G3408" s="34"/>
      <c r="H3408" s="30"/>
      <c r="I3408" s="35"/>
      <c r="J3408" s="25"/>
      <c r="K3408" s="33"/>
      <c r="L3408" s="41"/>
      <c r="M3408" s="33"/>
      <c r="N3408" s="33">
        <v>65.55</v>
      </c>
      <c r="O3408" s="145">
        <f>ROUND(PRODUCT(J3408:N3408),2)</f>
        <v>65.55</v>
      </c>
      <c r="P3408" s="185"/>
      <c r="Q3408" s="185"/>
    </row>
    <row r="3409" spans="1:17" collapsed="1">
      <c r="A3409" s="2">
        <v>8</v>
      </c>
      <c r="B3409" s="2">
        <v>6</v>
      </c>
      <c r="E3409" s="42" t="str">
        <f>CONCATENATE(A3409,".",B3409)</f>
        <v>8.6</v>
      </c>
      <c r="F3409" s="45" t="s">
        <v>4462</v>
      </c>
      <c r="G3409" s="13"/>
      <c r="H3409" s="14" t="s">
        <v>204</v>
      </c>
      <c r="I3409" s="13"/>
      <c r="J3409" s="16"/>
      <c r="K3409" s="17"/>
      <c r="L3409" s="16"/>
      <c r="M3409" s="17"/>
      <c r="N3409" s="18"/>
      <c r="O3409" s="13"/>
      <c r="P3409" s="185"/>
      <c r="Q3409" s="185"/>
    </row>
    <row r="3410" spans="1:17" ht="45" hidden="1" outlineLevel="1">
      <c r="A3410" s="2">
        <v>8</v>
      </c>
      <c r="B3410" s="2">
        <v>6</v>
      </c>
      <c r="C3410" s="2">
        <v>1</v>
      </c>
      <c r="E3410" s="20" t="str">
        <f>CONCATENATE(A3410,".",B3410,".",C3410)</f>
        <v>8.6.1</v>
      </c>
      <c r="F3410" s="21" t="s">
        <v>4463</v>
      </c>
      <c r="G3410" s="22">
        <v>97084</v>
      </c>
      <c r="H3410" s="23" t="s">
        <v>207</v>
      </c>
      <c r="I3410" s="22" t="s">
        <v>45</v>
      </c>
      <c r="J3410" s="32"/>
      <c r="K3410" s="10"/>
      <c r="L3410" s="32"/>
      <c r="M3410" s="10"/>
      <c r="N3410" s="33"/>
      <c r="O3410" s="27">
        <f>SUM(O3411:O3411)</f>
        <v>19.63</v>
      </c>
      <c r="P3410" s="185"/>
      <c r="Q3410" s="185"/>
    </row>
    <row r="3411" spans="1:17" hidden="1" outlineLevel="2">
      <c r="E3411" s="59"/>
      <c r="F3411" s="60"/>
      <c r="G3411" s="34"/>
      <c r="H3411" s="30"/>
      <c r="I3411" s="35"/>
      <c r="J3411" s="41"/>
      <c r="K3411" s="33"/>
      <c r="L3411" s="41"/>
      <c r="M3411" s="33"/>
      <c r="N3411" s="33">
        <v>19.63</v>
      </c>
      <c r="O3411" s="58">
        <f>ROUND(PRODUCT(J3411:N3411),2)</f>
        <v>19.63</v>
      </c>
      <c r="P3411" s="185"/>
      <c r="Q3411" s="185"/>
    </row>
    <row r="3412" spans="1:17" ht="30" hidden="1" outlineLevel="1">
      <c r="A3412" s="2">
        <v>8</v>
      </c>
      <c r="B3412" s="2">
        <v>6</v>
      </c>
      <c r="C3412" s="2">
        <f>1+C3410</f>
        <v>2</v>
      </c>
      <c r="E3412" s="20" t="str">
        <f>CONCATENATE(A3412,".",B3412,".",C3412)</f>
        <v>8.6.2</v>
      </c>
      <c r="F3412" s="21" t="s">
        <v>4464</v>
      </c>
      <c r="G3412" s="22">
        <v>97087</v>
      </c>
      <c r="H3412" s="23" t="s">
        <v>210</v>
      </c>
      <c r="I3412" s="22" t="s">
        <v>45</v>
      </c>
      <c r="J3412" s="32"/>
      <c r="K3412" s="10"/>
      <c r="L3412" s="32"/>
      <c r="M3412" s="10"/>
      <c r="N3412" s="33"/>
      <c r="O3412" s="27">
        <f>SUM(O3413:O3413)</f>
        <v>19.63</v>
      </c>
      <c r="P3412" s="185"/>
      <c r="Q3412" s="185"/>
    </row>
    <row r="3413" spans="1:17" hidden="1" outlineLevel="2">
      <c r="E3413" s="59"/>
      <c r="F3413" s="60"/>
      <c r="G3413" s="34"/>
      <c r="H3413" s="30"/>
      <c r="I3413" s="35"/>
      <c r="J3413" s="41"/>
      <c r="K3413" s="33"/>
      <c r="L3413" s="41"/>
      <c r="M3413" s="33"/>
      <c r="N3413" s="33">
        <v>19.63</v>
      </c>
      <c r="O3413" s="58">
        <f>ROUND(PRODUCT(J3413:N3413),2)</f>
        <v>19.63</v>
      </c>
      <c r="P3413" s="185"/>
      <c r="Q3413" s="185"/>
    </row>
    <row r="3414" spans="1:17" ht="30" hidden="1" outlineLevel="1">
      <c r="A3414" s="2">
        <v>8</v>
      </c>
      <c r="B3414" s="2">
        <v>6</v>
      </c>
      <c r="C3414" s="2">
        <f>C3412+1</f>
        <v>3</v>
      </c>
      <c r="E3414" s="20" t="str">
        <f>CONCATENATE(A3414,".",B3414,".",C3414)</f>
        <v>8.6.3</v>
      </c>
      <c r="F3414" s="21" t="s">
        <v>4465</v>
      </c>
      <c r="G3414" s="22" t="s">
        <v>212</v>
      </c>
      <c r="H3414" s="23" t="s">
        <v>213</v>
      </c>
      <c r="I3414" s="24" t="s">
        <v>45</v>
      </c>
      <c r="J3414" s="32"/>
      <c r="K3414" s="10"/>
      <c r="L3414" s="32"/>
      <c r="M3414" s="10"/>
      <c r="N3414" s="33"/>
      <c r="O3414" s="11">
        <f>SUM(O3415:O3415)</f>
        <v>19.63</v>
      </c>
      <c r="P3414" s="185"/>
      <c r="Q3414" s="185"/>
    </row>
    <row r="3415" spans="1:17" hidden="1" outlineLevel="2">
      <c r="E3415" s="59"/>
      <c r="F3415" s="60"/>
      <c r="G3415" s="34"/>
      <c r="H3415" s="30"/>
      <c r="I3415" s="35"/>
      <c r="J3415" s="41"/>
      <c r="K3415" s="33"/>
      <c r="L3415" s="41"/>
      <c r="M3415" s="33"/>
      <c r="N3415" s="33">
        <v>19.63</v>
      </c>
      <c r="O3415" s="58">
        <f>ROUND(PRODUCT(J3415:N3415),2)</f>
        <v>19.63</v>
      </c>
      <c r="P3415" s="185"/>
      <c r="Q3415" s="185"/>
    </row>
    <row r="3416" spans="1:17" ht="45" hidden="1" outlineLevel="1">
      <c r="A3416" s="2">
        <v>8</v>
      </c>
      <c r="B3416" s="2">
        <v>6</v>
      </c>
      <c r="C3416" s="2" t="e">
        <f>#REF!+1</f>
        <v>#REF!</v>
      </c>
      <c r="E3416" s="20" t="e">
        <f>CONCATENATE(A3416,".",B3416,".",C3416)</f>
        <v>#REF!</v>
      </c>
      <c r="F3416" s="21" t="s">
        <v>4466</v>
      </c>
      <c r="G3416" s="22" t="s">
        <v>218</v>
      </c>
      <c r="H3416" s="23" t="s">
        <v>219</v>
      </c>
      <c r="I3416" s="24" t="s">
        <v>45</v>
      </c>
      <c r="J3416" s="32"/>
      <c r="K3416" s="10"/>
      <c r="L3416" s="32"/>
      <c r="M3416" s="10"/>
      <c r="N3416" s="33"/>
      <c r="O3416" s="11">
        <f>SUM(O3417:O3417)</f>
        <v>19.63</v>
      </c>
      <c r="P3416" s="185"/>
      <c r="Q3416" s="185"/>
    </row>
    <row r="3417" spans="1:17" hidden="1" outlineLevel="2">
      <c r="E3417" s="59"/>
      <c r="F3417" s="60"/>
      <c r="G3417" s="34"/>
      <c r="H3417" s="30"/>
      <c r="I3417" s="35"/>
      <c r="J3417" s="41"/>
      <c r="K3417" s="33"/>
      <c r="L3417" s="41"/>
      <c r="M3417" s="33"/>
      <c r="N3417" s="33">
        <v>19.63</v>
      </c>
      <c r="O3417" s="58">
        <f>ROUND(PRODUCT(J3417:N3417),2)</f>
        <v>19.63</v>
      </c>
      <c r="P3417" s="185"/>
      <c r="Q3417" s="185"/>
    </row>
    <row r="3418" spans="1:17" ht="30" hidden="1" outlineLevel="1">
      <c r="A3418" s="2">
        <v>8</v>
      </c>
      <c r="B3418" s="2">
        <v>6</v>
      </c>
      <c r="C3418" s="2" t="e">
        <f>#REF!+1</f>
        <v>#REF!</v>
      </c>
      <c r="E3418" s="20" t="e">
        <f>CONCATENATE(A3418,".",B3418,".",C3418)</f>
        <v>#REF!</v>
      </c>
      <c r="F3418" s="21" t="s">
        <v>4467</v>
      </c>
      <c r="G3418" s="22">
        <v>101749</v>
      </c>
      <c r="H3418" s="23" t="s">
        <v>240</v>
      </c>
      <c r="I3418" s="24" t="s">
        <v>276</v>
      </c>
      <c r="J3418" s="32"/>
      <c r="K3418" s="10"/>
      <c r="L3418" s="32"/>
      <c r="M3418" s="10"/>
      <c r="N3418" s="33"/>
      <c r="O3418" s="11">
        <f>SUM(O3419:O3419)</f>
        <v>19.63</v>
      </c>
      <c r="P3418" s="185"/>
      <c r="Q3418" s="185"/>
    </row>
    <row r="3419" spans="1:17" hidden="1" outlineLevel="2">
      <c r="E3419" s="59"/>
      <c r="F3419" s="60"/>
      <c r="G3419" s="34"/>
      <c r="H3419" s="30"/>
      <c r="I3419" s="35"/>
      <c r="J3419" s="41"/>
      <c r="K3419" s="33"/>
      <c r="L3419" s="41"/>
      <c r="M3419" s="33"/>
      <c r="N3419" s="33">
        <v>19.63</v>
      </c>
      <c r="O3419" s="58">
        <f>ROUND(PRODUCT(J3419:N3419),2)</f>
        <v>19.63</v>
      </c>
      <c r="P3419" s="185"/>
      <c r="Q3419" s="185"/>
    </row>
    <row r="3420" spans="1:17" collapsed="1">
      <c r="A3420" s="2">
        <v>8</v>
      </c>
      <c r="B3420" s="2">
        <v>7</v>
      </c>
      <c r="E3420" s="42" t="str">
        <f>CONCATENATE(A3420,".",B3420)</f>
        <v>8.7</v>
      </c>
      <c r="F3420" s="45" t="s">
        <v>4468</v>
      </c>
      <c r="G3420" s="13"/>
      <c r="H3420" s="14" t="s">
        <v>257</v>
      </c>
      <c r="I3420" s="15"/>
      <c r="J3420" s="16"/>
      <c r="K3420" s="17"/>
      <c r="L3420" s="16"/>
      <c r="M3420" s="17"/>
      <c r="N3420" s="18"/>
      <c r="O3420" s="19"/>
      <c r="P3420" s="185"/>
      <c r="Q3420" s="185"/>
    </row>
    <row r="3421" spans="1:17" ht="45" hidden="1" outlineLevel="1">
      <c r="A3421" s="2">
        <v>8</v>
      </c>
      <c r="B3421" s="2">
        <v>7</v>
      </c>
      <c r="C3421" s="2">
        <v>1</v>
      </c>
      <c r="E3421" s="20" t="str">
        <f>CONCATENATE(A3421,".",B3421,".",C3421)</f>
        <v>8.7.1</v>
      </c>
      <c r="F3421" s="21" t="s">
        <v>4469</v>
      </c>
      <c r="G3421" s="22" t="s">
        <v>259</v>
      </c>
      <c r="H3421" s="23" t="s">
        <v>3067</v>
      </c>
      <c r="I3421" s="24" t="s">
        <v>45</v>
      </c>
      <c r="J3421" s="32"/>
      <c r="K3421" s="10"/>
      <c r="L3421" s="32"/>
      <c r="M3421" s="10"/>
      <c r="N3421" s="33"/>
      <c r="O3421" s="11">
        <f>SUM(O3422:O3423)</f>
        <v>42.6</v>
      </c>
      <c r="P3421" s="185"/>
      <c r="Q3421" s="185"/>
    </row>
    <row r="3422" spans="1:17" hidden="1" outlineLevel="2">
      <c r="E3422" s="59"/>
      <c r="F3422" s="60"/>
      <c r="G3422" s="34"/>
      <c r="H3422" s="30" t="s">
        <v>4470</v>
      </c>
      <c r="I3422" s="35"/>
      <c r="J3422" s="56"/>
      <c r="K3422" s="56">
        <v>14.83</v>
      </c>
      <c r="L3422" s="56"/>
      <c r="M3422" s="56">
        <v>3</v>
      </c>
      <c r="N3422" s="73"/>
      <c r="O3422" s="56">
        <f>ROUND(PRODUCT(J3422:N3422),2)</f>
        <v>44.49</v>
      </c>
      <c r="P3422" s="185"/>
    </row>
    <row r="3423" spans="1:17" hidden="1" outlineLevel="2">
      <c r="E3423" s="59"/>
      <c r="F3423" s="60"/>
      <c r="G3423" s="34"/>
      <c r="H3423" s="30" t="str">
        <f>_xlfn.CONCAT(H3422," - VÃO")</f>
        <v>CASA DE BOMBAS - VÃO</v>
      </c>
      <c r="I3423" s="35"/>
      <c r="J3423" s="56">
        <v>-1</v>
      </c>
      <c r="K3423" s="56"/>
      <c r="L3423" s="56"/>
      <c r="M3423" s="56"/>
      <c r="N3423" s="73">
        <f>0.9*2.1</f>
        <v>1.8900000000000001</v>
      </c>
      <c r="O3423" s="56">
        <f>ROUND(PRODUCT(J3423:N3423),2)</f>
        <v>-1.89</v>
      </c>
      <c r="P3423" s="185"/>
    </row>
    <row r="3424" spans="1:17" ht="45" hidden="1" outlineLevel="1">
      <c r="A3424" s="2">
        <v>8</v>
      </c>
      <c r="B3424" s="2">
        <v>7</v>
      </c>
      <c r="C3424" s="2">
        <f>C3421+1</f>
        <v>2</v>
      </c>
      <c r="E3424" s="20" t="str">
        <f>CONCATENATE(A3424,".",B3424,".",C3424)</f>
        <v>8.7.2</v>
      </c>
      <c r="F3424" s="21" t="s">
        <v>4471</v>
      </c>
      <c r="G3424" s="22" t="s">
        <v>262</v>
      </c>
      <c r="H3424" s="23" t="s">
        <v>3073</v>
      </c>
      <c r="I3424" s="24" t="s">
        <v>45</v>
      </c>
      <c r="J3424" s="32"/>
      <c r="K3424" s="10"/>
      <c r="L3424" s="32"/>
      <c r="M3424" s="10"/>
      <c r="N3424" s="33"/>
      <c r="O3424" s="11">
        <f>SUM(O3425:O3426)</f>
        <v>234.54000000000002</v>
      </c>
      <c r="P3424" s="185"/>
      <c r="Q3424" s="185"/>
    </row>
    <row r="3425" spans="1:17" hidden="1" outlineLevel="2">
      <c r="E3425" s="59"/>
      <c r="F3425" s="60"/>
      <c r="G3425" s="34"/>
      <c r="H3425" s="30" t="s">
        <v>3074</v>
      </c>
      <c r="I3425" s="35"/>
      <c r="J3425" s="56"/>
      <c r="K3425" s="56">
        <v>16.649999999999999</v>
      </c>
      <c r="L3425" s="56"/>
      <c r="M3425" s="56">
        <v>14.2</v>
      </c>
      <c r="N3425" s="73"/>
      <c r="O3425" s="56">
        <f>ROUND(PRODUCT(J3425:N3425),2)</f>
        <v>236.43</v>
      </c>
      <c r="P3425" s="185"/>
    </row>
    <row r="3426" spans="1:17" hidden="1" outlineLevel="2">
      <c r="E3426" s="59"/>
      <c r="F3426" s="60"/>
      <c r="G3426" s="34"/>
      <c r="H3426" s="30" t="str">
        <f>_xlfn.CONCAT(H3425," - VÃO")</f>
        <v>FACHADA - VÃO</v>
      </c>
      <c r="I3426" s="35"/>
      <c r="J3426" s="56">
        <v>-1</v>
      </c>
      <c r="K3426" s="56"/>
      <c r="L3426" s="56"/>
      <c r="M3426" s="56"/>
      <c r="N3426" s="73">
        <f>0.9*2.1</f>
        <v>1.8900000000000001</v>
      </c>
      <c r="O3426" s="56">
        <f>ROUND(PRODUCT(J3426:N3426),2)</f>
        <v>-1.89</v>
      </c>
      <c r="P3426" s="185"/>
    </row>
    <row r="3427" spans="1:17" ht="60" hidden="1" outlineLevel="1">
      <c r="A3427" s="2">
        <v>8</v>
      </c>
      <c r="B3427" s="2">
        <v>7</v>
      </c>
      <c r="C3427" s="2">
        <f>C3424+1</f>
        <v>3</v>
      </c>
      <c r="E3427" s="20" t="str">
        <f>CONCATENATE(A3427,".",B3427,".",C3427)</f>
        <v>8.7.3</v>
      </c>
      <c r="F3427" s="21" t="s">
        <v>4472</v>
      </c>
      <c r="G3427" s="22">
        <v>87829</v>
      </c>
      <c r="H3427" s="23" t="s">
        <v>266</v>
      </c>
      <c r="I3427" s="24" t="s">
        <v>45</v>
      </c>
      <c r="J3427" s="32"/>
      <c r="K3427" s="10"/>
      <c r="L3427" s="32"/>
      <c r="M3427" s="10"/>
      <c r="N3427" s="33"/>
      <c r="O3427" s="11">
        <f>SUM(O3428:O3429)</f>
        <v>42.6</v>
      </c>
      <c r="P3427" s="185"/>
      <c r="Q3427" s="185"/>
    </row>
    <row r="3428" spans="1:17" hidden="1" outlineLevel="2">
      <c r="E3428" s="59"/>
      <c r="F3428" s="60"/>
      <c r="G3428" s="34"/>
      <c r="H3428" s="30" t="s">
        <v>4470</v>
      </c>
      <c r="I3428" s="35"/>
      <c r="J3428" s="56"/>
      <c r="K3428" s="56">
        <v>14.83</v>
      </c>
      <c r="L3428" s="56"/>
      <c r="M3428" s="56">
        <v>3</v>
      </c>
      <c r="N3428" s="73"/>
      <c r="O3428" s="56">
        <f>ROUND(PRODUCT(J3428:N3428),2)</f>
        <v>44.49</v>
      </c>
      <c r="P3428" s="185"/>
    </row>
    <row r="3429" spans="1:17" hidden="1" outlineLevel="2">
      <c r="E3429" s="59"/>
      <c r="F3429" s="60"/>
      <c r="G3429" s="34"/>
      <c r="H3429" s="30" t="str">
        <f>_xlfn.CONCAT(H3428," - VÃO")</f>
        <v>CASA DE BOMBAS - VÃO</v>
      </c>
      <c r="I3429" s="35"/>
      <c r="J3429" s="56">
        <v>-1</v>
      </c>
      <c r="K3429" s="56"/>
      <c r="L3429" s="56"/>
      <c r="M3429" s="56"/>
      <c r="N3429" s="73">
        <f>0.9*2.1</f>
        <v>1.8900000000000001</v>
      </c>
      <c r="O3429" s="56">
        <f>ROUND(PRODUCT(J3429:N3429),2)</f>
        <v>-1.89</v>
      </c>
      <c r="P3429" s="185"/>
    </row>
    <row r="3430" spans="1:17" ht="45" hidden="1" outlineLevel="1">
      <c r="A3430" s="2">
        <v>8</v>
      </c>
      <c r="B3430" s="2">
        <v>7</v>
      </c>
      <c r="C3430" s="2">
        <f>C3427+1</f>
        <v>4</v>
      </c>
      <c r="E3430" s="20" t="str">
        <f>CONCATENATE(A3430,".",B3430,".",C3430)</f>
        <v>8.7.4</v>
      </c>
      <c r="F3430" s="21" t="s">
        <v>4473</v>
      </c>
      <c r="G3430" s="22">
        <v>87779</v>
      </c>
      <c r="H3430" s="23" t="s">
        <v>269</v>
      </c>
      <c r="I3430" s="24" t="s">
        <v>45</v>
      </c>
      <c r="J3430" s="32"/>
      <c r="K3430" s="10"/>
      <c r="L3430" s="32"/>
      <c r="M3430" s="10"/>
      <c r="N3430" s="33"/>
      <c r="O3430" s="11">
        <f>SUM(O3431:O3432)</f>
        <v>234.54000000000002</v>
      </c>
      <c r="P3430" s="185"/>
      <c r="Q3430" s="185"/>
    </row>
    <row r="3431" spans="1:17" hidden="1" outlineLevel="2">
      <c r="E3431" s="59"/>
      <c r="F3431" s="60"/>
      <c r="G3431" s="34"/>
      <c r="H3431" s="30" t="s">
        <v>3074</v>
      </c>
      <c r="I3431" s="35"/>
      <c r="J3431" s="56"/>
      <c r="K3431" s="56">
        <v>16.649999999999999</v>
      </c>
      <c r="L3431" s="56"/>
      <c r="M3431" s="56">
        <v>14.2</v>
      </c>
      <c r="N3431" s="73"/>
      <c r="O3431" s="56">
        <f>ROUND(PRODUCT(J3431:N3431),2)</f>
        <v>236.43</v>
      </c>
      <c r="P3431" s="185"/>
    </row>
    <row r="3432" spans="1:17" hidden="1" outlineLevel="2">
      <c r="E3432" s="59"/>
      <c r="F3432" s="60"/>
      <c r="G3432" s="34"/>
      <c r="H3432" s="30" t="str">
        <f>_xlfn.CONCAT(H3431," - VÃO")</f>
        <v>FACHADA - VÃO</v>
      </c>
      <c r="I3432" s="35"/>
      <c r="J3432" s="56">
        <v>-1</v>
      </c>
      <c r="K3432" s="56"/>
      <c r="L3432" s="56"/>
      <c r="M3432" s="56"/>
      <c r="N3432" s="73">
        <f>0.9*2.1</f>
        <v>1.8900000000000001</v>
      </c>
      <c r="O3432" s="56">
        <f>ROUND(PRODUCT(J3432:N3432),2)</f>
        <v>-1.89</v>
      </c>
      <c r="P3432" s="185"/>
    </row>
    <row r="3433" spans="1:17" collapsed="1">
      <c r="A3433" s="2">
        <v>8</v>
      </c>
      <c r="B3433" s="2">
        <v>9</v>
      </c>
      <c r="E3433" s="42" t="str">
        <f>CONCATENATE(A3433,".",B3433)</f>
        <v>8.9</v>
      </c>
      <c r="F3433" s="45" t="s">
        <v>4474</v>
      </c>
      <c r="G3433" s="13"/>
      <c r="H3433" s="14" t="s">
        <v>302</v>
      </c>
      <c r="I3433" s="15"/>
      <c r="J3433" s="16"/>
      <c r="K3433" s="17"/>
      <c r="L3433" s="16"/>
      <c r="M3433" s="17"/>
      <c r="N3433" s="18"/>
      <c r="O3433" s="19"/>
      <c r="P3433" s="185"/>
      <c r="Q3433" s="185"/>
    </row>
    <row r="3434" spans="1:17" ht="30" hidden="1" outlineLevel="1">
      <c r="A3434" s="2">
        <v>8</v>
      </c>
      <c r="B3434" s="2">
        <v>9</v>
      </c>
      <c r="C3434" s="2">
        <v>1</v>
      </c>
      <c r="E3434" s="20" t="str">
        <f>CONCATENATE(A3434,".",B3434,".",C3434)</f>
        <v>8.9.1</v>
      </c>
      <c r="F3434" s="21" t="s">
        <v>4475</v>
      </c>
      <c r="G3434" s="22">
        <v>91338</v>
      </c>
      <c r="H3434" s="23" t="s">
        <v>3709</v>
      </c>
      <c r="I3434" s="24" t="s">
        <v>45</v>
      </c>
      <c r="J3434" s="32"/>
      <c r="K3434" s="10"/>
      <c r="L3434" s="32"/>
      <c r="M3434" s="10"/>
      <c r="N3434" s="33"/>
      <c r="O3434" s="11">
        <f>SUM(O3435:O3435)</f>
        <v>1.89</v>
      </c>
      <c r="P3434" s="185"/>
      <c r="Q3434" s="185"/>
    </row>
    <row r="3435" spans="1:17" hidden="1" outlineLevel="2">
      <c r="E3435" s="59"/>
      <c r="F3435" s="60"/>
      <c r="G3435" s="34"/>
      <c r="H3435" s="30"/>
      <c r="I3435" s="35"/>
      <c r="J3435" s="25"/>
      <c r="K3435" s="33"/>
      <c r="L3435" s="41"/>
      <c r="M3435" s="33"/>
      <c r="N3435" s="33">
        <f>0.9*2.1</f>
        <v>1.8900000000000001</v>
      </c>
      <c r="O3435" s="58">
        <f>ROUND(PRODUCT(J3435:N3435),2)</f>
        <v>1.89</v>
      </c>
      <c r="P3435" s="185"/>
      <c r="Q3435" s="185"/>
    </row>
    <row r="3436" spans="1:17" collapsed="1">
      <c r="A3436" s="2">
        <v>8</v>
      </c>
      <c r="B3436" s="2">
        <v>11</v>
      </c>
      <c r="E3436" s="42" t="str">
        <f>CONCATENATE(A3436,".",B3436)</f>
        <v>8.11</v>
      </c>
      <c r="F3436" s="108" t="s">
        <v>4476</v>
      </c>
      <c r="G3436" s="98"/>
      <c r="H3436" s="99" t="s">
        <v>468</v>
      </c>
      <c r="I3436" s="15"/>
      <c r="J3436" s="16"/>
      <c r="K3436" s="17"/>
      <c r="L3436" s="16"/>
      <c r="M3436" s="17"/>
      <c r="N3436" s="18"/>
      <c r="O3436" s="61"/>
      <c r="P3436" s="185"/>
      <c r="Q3436" s="185"/>
    </row>
    <row r="3437" spans="1:17" ht="30" hidden="1" outlineLevel="1">
      <c r="A3437" s="2">
        <v>8</v>
      </c>
      <c r="B3437" s="2">
        <v>11</v>
      </c>
      <c r="C3437" s="2">
        <v>1</v>
      </c>
      <c r="E3437" s="20" t="str">
        <f>CONCATENATE(A3437,".",B3437,".",C3437)</f>
        <v>8.11.1</v>
      </c>
      <c r="F3437" s="21" t="s">
        <v>4477</v>
      </c>
      <c r="G3437" s="65">
        <v>91926</v>
      </c>
      <c r="H3437" s="23" t="s">
        <v>519</v>
      </c>
      <c r="I3437" s="24" t="s">
        <v>144</v>
      </c>
      <c r="J3437" s="32"/>
      <c r="K3437" s="10"/>
      <c r="L3437" s="32"/>
      <c r="M3437" s="10"/>
      <c r="N3437" s="33"/>
      <c r="O3437" s="11">
        <f>SUM(O3438)</f>
        <v>5180</v>
      </c>
      <c r="P3437" s="185"/>
    </row>
    <row r="3438" spans="1:17" hidden="1" outlineLevel="2">
      <c r="E3438" s="59"/>
      <c r="F3438" s="60"/>
      <c r="G3438" s="34"/>
      <c r="H3438" s="30"/>
      <c r="I3438" s="35"/>
      <c r="J3438" s="41"/>
      <c r="K3438" s="10"/>
      <c r="L3438" s="32"/>
      <c r="M3438" s="10"/>
      <c r="N3438" s="33">
        <f>330+4850</f>
        <v>5180</v>
      </c>
      <c r="O3438" s="31">
        <f>ROUND(PRODUCT(J3438:N3438),2)</f>
        <v>5180</v>
      </c>
      <c r="P3438" s="185"/>
    </row>
    <row r="3439" spans="1:17" ht="30" hidden="1" outlineLevel="1">
      <c r="A3439" s="2">
        <v>8</v>
      </c>
      <c r="B3439" s="2">
        <v>11</v>
      </c>
      <c r="C3439" s="2">
        <f>C3437+1</f>
        <v>2</v>
      </c>
      <c r="E3439" s="20" t="str">
        <f>CONCATENATE(A3439,".",B3439,".",C3439)</f>
        <v>8.11.2</v>
      </c>
      <c r="F3439" s="21" t="s">
        <v>4478</v>
      </c>
      <c r="G3439" s="65">
        <v>91928</v>
      </c>
      <c r="H3439" s="23" t="s">
        <v>2397</v>
      </c>
      <c r="I3439" s="24" t="s">
        <v>144</v>
      </c>
      <c r="J3439" s="32"/>
      <c r="K3439" s="10"/>
      <c r="L3439" s="32"/>
      <c r="M3439" s="10"/>
      <c r="N3439" s="33"/>
      <c r="O3439" s="11">
        <f>SUM(O3440)</f>
        <v>518.5</v>
      </c>
      <c r="P3439" s="185"/>
    </row>
    <row r="3440" spans="1:17" hidden="1" outlineLevel="2">
      <c r="E3440" s="59"/>
      <c r="F3440" s="60"/>
      <c r="G3440" s="34"/>
      <c r="H3440" s="30"/>
      <c r="I3440" s="35"/>
      <c r="J3440" s="41"/>
      <c r="K3440" s="10"/>
      <c r="L3440" s="32"/>
      <c r="M3440" s="10"/>
      <c r="N3440" s="33">
        <v>518.5</v>
      </c>
      <c r="O3440" s="31">
        <f>ROUND(PRODUCT(J3440:N3440),2)</f>
        <v>518.5</v>
      </c>
      <c r="P3440" s="185"/>
    </row>
    <row r="3441" spans="1:16" ht="30" hidden="1" outlineLevel="1">
      <c r="A3441" s="2">
        <v>8</v>
      </c>
      <c r="B3441" s="2">
        <v>11</v>
      </c>
      <c r="C3441" s="2">
        <f>C3439+1</f>
        <v>3</v>
      </c>
      <c r="E3441" s="20" t="str">
        <f>CONCATENATE(A3441,".",B3441,".",C3441)</f>
        <v>8.11.3</v>
      </c>
      <c r="F3441" s="21" t="s">
        <v>4479</v>
      </c>
      <c r="G3441" s="65">
        <v>92980</v>
      </c>
      <c r="H3441" s="23" t="s">
        <v>3734</v>
      </c>
      <c r="I3441" s="24" t="s">
        <v>144</v>
      </c>
      <c r="J3441" s="32"/>
      <c r="K3441" s="10"/>
      <c r="L3441" s="32"/>
      <c r="M3441" s="10"/>
      <c r="N3441" s="33"/>
      <c r="O3441" s="11">
        <f>SUM(O3442)</f>
        <v>25</v>
      </c>
      <c r="P3441" s="185"/>
    </row>
    <row r="3442" spans="1:16" hidden="1" outlineLevel="2">
      <c r="E3442" s="59"/>
      <c r="F3442" s="60"/>
      <c r="G3442" s="34"/>
      <c r="H3442" s="30"/>
      <c r="I3442" s="35"/>
      <c r="J3442" s="41"/>
      <c r="K3442" s="10"/>
      <c r="L3442" s="32"/>
      <c r="M3442" s="10"/>
      <c r="N3442" s="33">
        <v>25</v>
      </c>
      <c r="O3442" s="31">
        <f>ROUND(PRODUCT(J3442:N3442),2)</f>
        <v>25</v>
      </c>
      <c r="P3442" s="185"/>
    </row>
    <row r="3443" spans="1:16" ht="45" hidden="1" outlineLevel="1">
      <c r="A3443" s="2">
        <v>8</v>
      </c>
      <c r="B3443" s="2">
        <v>11</v>
      </c>
      <c r="C3443" s="2">
        <f>C3441+1</f>
        <v>4</v>
      </c>
      <c r="E3443" s="20" t="str">
        <f>CONCATENATE(A3443,".",B3443,".",C3443)</f>
        <v>8.11.4</v>
      </c>
      <c r="F3443" s="21" t="s">
        <v>4480</v>
      </c>
      <c r="G3443" s="65">
        <v>92984</v>
      </c>
      <c r="H3443" s="23" t="s">
        <v>4175</v>
      </c>
      <c r="I3443" s="24" t="s">
        <v>144</v>
      </c>
      <c r="J3443" s="32"/>
      <c r="K3443" s="10"/>
      <c r="L3443" s="32"/>
      <c r="M3443" s="10"/>
      <c r="N3443" s="33"/>
      <c r="O3443" s="11">
        <f>SUM(O3444)</f>
        <v>150</v>
      </c>
      <c r="P3443" s="185"/>
    </row>
    <row r="3444" spans="1:16" hidden="1" outlineLevel="2">
      <c r="E3444" s="59"/>
      <c r="F3444" s="60"/>
      <c r="G3444" s="34"/>
      <c r="H3444" s="30"/>
      <c r="I3444" s="35"/>
      <c r="J3444" s="41"/>
      <c r="K3444" s="10"/>
      <c r="L3444" s="32"/>
      <c r="M3444" s="10"/>
      <c r="N3444" s="33">
        <v>150</v>
      </c>
      <c r="O3444" s="31">
        <f>ROUND(PRODUCT(J3444:N3444),2)</f>
        <v>150</v>
      </c>
      <c r="P3444" s="185"/>
    </row>
    <row r="3445" spans="1:16" ht="30" hidden="1" outlineLevel="1">
      <c r="A3445" s="2">
        <v>8</v>
      </c>
      <c r="B3445" s="2">
        <v>11</v>
      </c>
      <c r="C3445" s="2">
        <f>C3443+1</f>
        <v>5</v>
      </c>
      <c r="E3445" s="20" t="str">
        <f>CONCATENATE(A3445,".",B3445,".",C3445)</f>
        <v>8.11.5</v>
      </c>
      <c r="F3445" s="21" t="s">
        <v>4481</v>
      </c>
      <c r="G3445" s="65">
        <v>91931</v>
      </c>
      <c r="H3445" s="23" t="s">
        <v>3204</v>
      </c>
      <c r="I3445" s="24" t="s">
        <v>144</v>
      </c>
      <c r="J3445" s="32"/>
      <c r="K3445" s="10"/>
      <c r="L3445" s="32"/>
      <c r="M3445" s="10"/>
      <c r="N3445" s="33"/>
      <c r="O3445" s="11">
        <f>SUM(O3446)</f>
        <v>25</v>
      </c>
      <c r="P3445" s="185"/>
    </row>
    <row r="3446" spans="1:16" hidden="1" outlineLevel="2">
      <c r="E3446" s="59"/>
      <c r="F3446" s="60"/>
      <c r="G3446" s="34"/>
      <c r="H3446" s="30"/>
      <c r="I3446" s="35"/>
      <c r="J3446" s="41"/>
      <c r="K3446" s="10"/>
      <c r="L3446" s="32"/>
      <c r="M3446" s="10"/>
      <c r="N3446" s="33">
        <v>25</v>
      </c>
      <c r="O3446" s="31">
        <f>ROUND(PRODUCT(J3446:N3446),2)</f>
        <v>25</v>
      </c>
      <c r="P3446" s="185"/>
    </row>
    <row r="3447" spans="1:16" ht="30" hidden="1" outlineLevel="1">
      <c r="A3447" s="2">
        <v>8</v>
      </c>
      <c r="B3447" s="2">
        <v>11</v>
      </c>
      <c r="C3447" s="2">
        <f>C3445+1</f>
        <v>6</v>
      </c>
      <c r="E3447" s="20" t="str">
        <f>CONCATENATE(A3447,".",B3447,".",C3447)</f>
        <v>8.11.6</v>
      </c>
      <c r="F3447" s="21" t="s">
        <v>4482</v>
      </c>
      <c r="G3447" s="65">
        <v>93653</v>
      </c>
      <c r="H3447" s="23" t="s">
        <v>513</v>
      </c>
      <c r="I3447" s="24" t="s">
        <v>36</v>
      </c>
      <c r="J3447" s="32"/>
      <c r="K3447" s="10"/>
      <c r="L3447" s="32"/>
      <c r="M3447" s="10"/>
      <c r="N3447" s="33"/>
      <c r="O3447" s="11">
        <f>SUM(O3448)</f>
        <v>7</v>
      </c>
      <c r="P3447" s="185"/>
    </row>
    <row r="3448" spans="1:16" hidden="1" outlineLevel="2">
      <c r="E3448" s="59"/>
      <c r="F3448" s="60"/>
      <c r="G3448" s="34"/>
      <c r="H3448" s="30"/>
      <c r="I3448" s="35"/>
      <c r="J3448" s="41"/>
      <c r="K3448" s="10"/>
      <c r="L3448" s="32"/>
      <c r="M3448" s="10"/>
      <c r="N3448" s="33">
        <v>7</v>
      </c>
      <c r="O3448" s="31">
        <f>ROUND(PRODUCT(J3448:N3448),2)</f>
        <v>7</v>
      </c>
      <c r="P3448" s="185"/>
    </row>
    <row r="3449" spans="1:16" ht="30" hidden="1" outlineLevel="1">
      <c r="A3449" s="2">
        <v>8</v>
      </c>
      <c r="B3449" s="2">
        <v>11</v>
      </c>
      <c r="C3449" s="2">
        <f>C3447+1</f>
        <v>7</v>
      </c>
      <c r="E3449" s="20" t="str">
        <f>CONCATENATE(A3449,".",B3449,".",C3449)</f>
        <v>8.11.7</v>
      </c>
      <c r="F3449" s="21" t="s">
        <v>4483</v>
      </c>
      <c r="G3449" s="65">
        <v>93654</v>
      </c>
      <c r="H3449" s="23" t="s">
        <v>510</v>
      </c>
      <c r="I3449" s="24" t="s">
        <v>36</v>
      </c>
      <c r="J3449" s="32"/>
      <c r="K3449" s="10"/>
      <c r="L3449" s="32"/>
      <c r="M3449" s="10"/>
      <c r="N3449" s="33"/>
      <c r="O3449" s="11">
        <f>SUM(O3450)</f>
        <v>12</v>
      </c>
      <c r="P3449" s="185"/>
    </row>
    <row r="3450" spans="1:16" hidden="1" outlineLevel="2">
      <c r="E3450" s="59"/>
      <c r="F3450" s="60"/>
      <c r="G3450" s="34"/>
      <c r="H3450" s="30"/>
      <c r="I3450" s="35"/>
      <c r="J3450" s="41"/>
      <c r="K3450" s="10"/>
      <c r="L3450" s="32"/>
      <c r="M3450" s="10"/>
      <c r="N3450" s="33">
        <v>12</v>
      </c>
      <c r="O3450" s="31">
        <f>ROUND(PRODUCT(J3450:N3450),2)</f>
        <v>12</v>
      </c>
      <c r="P3450" s="185"/>
    </row>
    <row r="3451" spans="1:16" ht="30" hidden="1" outlineLevel="1">
      <c r="A3451" s="2">
        <v>8</v>
      </c>
      <c r="B3451" s="2">
        <v>11</v>
      </c>
      <c r="C3451" s="2">
        <f>C3449+1</f>
        <v>8</v>
      </c>
      <c r="E3451" s="20" t="str">
        <f>CONCATENATE(A3451,".",B3451,".",C3451)</f>
        <v>8.11.8</v>
      </c>
      <c r="F3451" s="21" t="s">
        <v>4484</v>
      </c>
      <c r="G3451" s="65">
        <v>93655</v>
      </c>
      <c r="H3451" s="23" t="s">
        <v>507</v>
      </c>
      <c r="I3451" s="24" t="s">
        <v>36</v>
      </c>
      <c r="J3451" s="32"/>
      <c r="K3451" s="10"/>
      <c r="L3451" s="32"/>
      <c r="M3451" s="10"/>
      <c r="N3451" s="33"/>
      <c r="O3451" s="11">
        <f>SUM(O3452)</f>
        <v>5</v>
      </c>
      <c r="P3451" s="185"/>
    </row>
    <row r="3452" spans="1:16" hidden="1" outlineLevel="2">
      <c r="E3452" s="59"/>
      <c r="F3452" s="60"/>
      <c r="G3452" s="34"/>
      <c r="H3452" s="30"/>
      <c r="I3452" s="35"/>
      <c r="J3452" s="41"/>
      <c r="K3452" s="10"/>
      <c r="L3452" s="32"/>
      <c r="M3452" s="10"/>
      <c r="N3452" s="33">
        <v>5</v>
      </c>
      <c r="O3452" s="31">
        <f>ROUND(PRODUCT(J3452:N3452),2)</f>
        <v>5</v>
      </c>
      <c r="P3452" s="185"/>
    </row>
    <row r="3453" spans="1:16" ht="30" hidden="1" outlineLevel="1">
      <c r="A3453" s="2">
        <v>8</v>
      </c>
      <c r="B3453" s="2">
        <v>11</v>
      </c>
      <c r="C3453" s="2">
        <f>C3451+1</f>
        <v>9</v>
      </c>
      <c r="E3453" s="20" t="str">
        <f>CONCATENATE(A3453,".",B3453,".",C3453)</f>
        <v>8.11.9</v>
      </c>
      <c r="F3453" s="21" t="s">
        <v>4485</v>
      </c>
      <c r="G3453" s="65">
        <v>93672</v>
      </c>
      <c r="H3453" s="23" t="s">
        <v>477</v>
      </c>
      <c r="I3453" s="24" t="s">
        <v>36</v>
      </c>
      <c r="J3453" s="32"/>
      <c r="K3453" s="10"/>
      <c r="L3453" s="32"/>
      <c r="M3453" s="10"/>
      <c r="N3453" s="33"/>
      <c r="O3453" s="11">
        <f>SUM(O3454)</f>
        <v>4</v>
      </c>
      <c r="P3453" s="185"/>
    </row>
    <row r="3454" spans="1:16" hidden="1" outlineLevel="2">
      <c r="E3454" s="59"/>
      <c r="F3454" s="60"/>
      <c r="G3454" s="34"/>
      <c r="H3454" s="30"/>
      <c r="I3454" s="35"/>
      <c r="J3454" s="41"/>
      <c r="K3454" s="10"/>
      <c r="L3454" s="32"/>
      <c r="M3454" s="10"/>
      <c r="N3454" s="33">
        <v>4</v>
      </c>
      <c r="O3454" s="31">
        <f>ROUND(PRODUCT(J3454:N3454),2)</f>
        <v>4</v>
      </c>
      <c r="P3454" s="185"/>
    </row>
    <row r="3455" spans="1:16" ht="30" hidden="1" outlineLevel="1">
      <c r="A3455" s="2">
        <v>8</v>
      </c>
      <c r="B3455" s="2">
        <v>11</v>
      </c>
      <c r="C3455" s="2">
        <f>C3453+1</f>
        <v>10</v>
      </c>
      <c r="E3455" s="20" t="str">
        <f>CONCATENATE(A3455,".",B3455,".",C3455)</f>
        <v>8.11.10</v>
      </c>
      <c r="F3455" s="21" t="s">
        <v>4486</v>
      </c>
      <c r="G3455" s="65">
        <v>93673</v>
      </c>
      <c r="H3455" s="23" t="s">
        <v>474</v>
      </c>
      <c r="I3455" s="24" t="s">
        <v>36</v>
      </c>
      <c r="J3455" s="32"/>
      <c r="K3455" s="10"/>
      <c r="L3455" s="32"/>
      <c r="M3455" s="10"/>
      <c r="N3455" s="33"/>
      <c r="O3455" s="11">
        <f>SUM(O3456)</f>
        <v>1</v>
      </c>
      <c r="P3455" s="185"/>
    </row>
    <row r="3456" spans="1:16" hidden="1" outlineLevel="2">
      <c r="E3456" s="59"/>
      <c r="F3456" s="60"/>
      <c r="G3456" s="34"/>
      <c r="H3456" s="30"/>
      <c r="I3456" s="35"/>
      <c r="J3456" s="41"/>
      <c r="K3456" s="10"/>
      <c r="L3456" s="32"/>
      <c r="M3456" s="10"/>
      <c r="N3456" s="33">
        <v>1</v>
      </c>
      <c r="O3456" s="31">
        <f>ROUND(PRODUCT(J3456:N3456),2)</f>
        <v>1</v>
      </c>
      <c r="P3456" s="185"/>
    </row>
    <row r="3457" spans="1:16" ht="30" hidden="1" outlineLevel="1">
      <c r="A3457" s="2">
        <v>8</v>
      </c>
      <c r="B3457" s="2">
        <v>11</v>
      </c>
      <c r="C3457" s="2">
        <f>C3455+1</f>
        <v>11</v>
      </c>
      <c r="E3457" s="20" t="str">
        <f>CONCATENATE(A3457,".",B3457,".",C3457)</f>
        <v>8.11.11</v>
      </c>
      <c r="F3457" s="21" t="s">
        <v>4487</v>
      </c>
      <c r="G3457" s="65">
        <v>101894</v>
      </c>
      <c r="H3457" s="23" t="s">
        <v>3766</v>
      </c>
      <c r="I3457" s="24" t="s">
        <v>36</v>
      </c>
      <c r="J3457" s="32"/>
      <c r="K3457" s="10"/>
      <c r="L3457" s="32"/>
      <c r="M3457" s="10"/>
      <c r="N3457" s="33"/>
      <c r="O3457" s="11">
        <f>SUM(O3458)</f>
        <v>1</v>
      </c>
      <c r="P3457" s="185"/>
    </row>
    <row r="3458" spans="1:16" hidden="1" outlineLevel="2">
      <c r="E3458" s="59"/>
      <c r="F3458" s="60"/>
      <c r="G3458" s="34"/>
      <c r="H3458" s="30"/>
      <c r="I3458" s="35"/>
      <c r="J3458" s="41"/>
      <c r="K3458" s="10"/>
      <c r="L3458" s="32"/>
      <c r="M3458" s="10"/>
      <c r="N3458" s="33">
        <v>1</v>
      </c>
      <c r="O3458" s="31">
        <f>ROUND(PRODUCT(J3458:N3458),2)</f>
        <v>1</v>
      </c>
      <c r="P3458" s="185"/>
    </row>
    <row r="3459" spans="1:16" ht="45" hidden="1" outlineLevel="1">
      <c r="A3459" s="2">
        <v>8</v>
      </c>
      <c r="B3459" s="2">
        <v>11</v>
      </c>
      <c r="C3459" s="2">
        <f>C3457+1</f>
        <v>12</v>
      </c>
      <c r="E3459" s="20" t="str">
        <f>CONCATENATE(A3459,".",B3459,".",C3459)</f>
        <v>8.11.12</v>
      </c>
      <c r="F3459" s="21" t="s">
        <v>4488</v>
      </c>
      <c r="G3459" s="65">
        <v>91855</v>
      </c>
      <c r="H3459" s="23" t="s">
        <v>3776</v>
      </c>
      <c r="I3459" s="24" t="s">
        <v>144</v>
      </c>
      <c r="J3459" s="32"/>
      <c r="K3459" s="10"/>
      <c r="L3459" s="32"/>
      <c r="M3459" s="10"/>
      <c r="N3459" s="33"/>
      <c r="O3459" s="11">
        <f>SUM(O3460)</f>
        <v>321.3</v>
      </c>
      <c r="P3459" s="185"/>
    </row>
    <row r="3460" spans="1:16" hidden="1" outlineLevel="2">
      <c r="E3460" s="59"/>
      <c r="F3460" s="60"/>
      <c r="G3460" s="34"/>
      <c r="H3460" s="30"/>
      <c r="I3460" s="35"/>
      <c r="J3460" s="41"/>
      <c r="K3460" s="10"/>
      <c r="L3460" s="32"/>
      <c r="M3460" s="10"/>
      <c r="N3460" s="33">
        <v>321.3</v>
      </c>
      <c r="O3460" s="31">
        <f>ROUND(PRODUCT(J3460:N3460),2)</f>
        <v>321.3</v>
      </c>
      <c r="P3460" s="185"/>
    </row>
    <row r="3461" spans="1:16" ht="30" hidden="1" outlineLevel="1">
      <c r="A3461" s="2">
        <v>8</v>
      </c>
      <c r="B3461" s="2">
        <v>11</v>
      </c>
      <c r="C3461" s="2">
        <f>C3459+1</f>
        <v>13</v>
      </c>
      <c r="E3461" s="20" t="str">
        <f>CONCATENATE(A3461,".",B3461,".",C3461)</f>
        <v>8.11.13</v>
      </c>
      <c r="F3461" s="21" t="s">
        <v>4489</v>
      </c>
      <c r="G3461" s="65">
        <v>93009</v>
      </c>
      <c r="H3461" s="23" t="s">
        <v>3784</v>
      </c>
      <c r="I3461" s="24" t="s">
        <v>144</v>
      </c>
      <c r="J3461" s="32"/>
      <c r="K3461" s="10"/>
      <c r="L3461" s="32"/>
      <c r="M3461" s="10"/>
      <c r="N3461" s="33"/>
      <c r="O3461" s="11">
        <f>SUM(O3462)</f>
        <v>28</v>
      </c>
      <c r="P3461" s="185"/>
    </row>
    <row r="3462" spans="1:16" hidden="1" outlineLevel="2">
      <c r="E3462" s="59"/>
      <c r="F3462" s="60"/>
      <c r="G3462" s="34"/>
      <c r="H3462" s="30"/>
      <c r="I3462" s="35"/>
      <c r="J3462" s="41"/>
      <c r="K3462" s="10"/>
      <c r="L3462" s="32"/>
      <c r="M3462" s="10"/>
      <c r="N3462" s="33">
        <v>28</v>
      </c>
      <c r="O3462" s="31">
        <f>ROUND(PRODUCT(J3462:N3462),2)</f>
        <v>28</v>
      </c>
      <c r="P3462" s="185"/>
    </row>
    <row r="3463" spans="1:16" ht="30" hidden="1" outlineLevel="1">
      <c r="A3463" s="2">
        <v>8</v>
      </c>
      <c r="B3463" s="2">
        <v>11</v>
      </c>
      <c r="C3463" s="2">
        <f>C3461+1</f>
        <v>14</v>
      </c>
      <c r="E3463" s="20" t="str">
        <f>CONCATENATE(A3463,".",B3463,".",C3463)</f>
        <v>8.11.14</v>
      </c>
      <c r="F3463" s="21" t="s">
        <v>4490</v>
      </c>
      <c r="G3463" s="65">
        <v>91979</v>
      </c>
      <c r="H3463" s="23" t="s">
        <v>564</v>
      </c>
      <c r="I3463" s="24" t="s">
        <v>36</v>
      </c>
      <c r="J3463" s="32"/>
      <c r="K3463" s="10"/>
      <c r="L3463" s="32"/>
      <c r="M3463" s="10"/>
      <c r="N3463" s="33"/>
      <c r="O3463" s="11">
        <f>SUM(O3464)</f>
        <v>3</v>
      </c>
      <c r="P3463" s="185"/>
    </row>
    <row r="3464" spans="1:16" hidden="1" outlineLevel="2">
      <c r="E3464" s="59"/>
      <c r="F3464" s="60"/>
      <c r="G3464" s="34"/>
      <c r="H3464" s="30"/>
      <c r="I3464" s="35"/>
      <c r="J3464" s="41"/>
      <c r="K3464" s="10"/>
      <c r="L3464" s="32"/>
      <c r="M3464" s="10"/>
      <c r="N3464" s="33">
        <v>3</v>
      </c>
      <c r="O3464" s="31">
        <f>ROUND(PRODUCT(J3464:N3464),2)</f>
        <v>3</v>
      </c>
      <c r="P3464" s="185"/>
    </row>
    <row r="3465" spans="1:16" ht="30" hidden="1" outlineLevel="1">
      <c r="A3465" s="2">
        <v>8</v>
      </c>
      <c r="B3465" s="2">
        <v>11</v>
      </c>
      <c r="C3465" s="2">
        <f>C3463+1</f>
        <v>15</v>
      </c>
      <c r="E3465" s="20" t="str">
        <f>CONCATENATE(A3465,".",B3465,".",C3465)</f>
        <v>8.11.15</v>
      </c>
      <c r="F3465" s="21" t="s">
        <v>4491</v>
      </c>
      <c r="G3465" s="65">
        <v>91955</v>
      </c>
      <c r="H3465" s="23" t="s">
        <v>567</v>
      </c>
      <c r="I3465" s="24" t="s">
        <v>36</v>
      </c>
      <c r="J3465" s="32"/>
      <c r="K3465" s="10"/>
      <c r="L3465" s="32"/>
      <c r="M3465" s="10"/>
      <c r="N3465" s="33"/>
      <c r="O3465" s="11">
        <f>SUM(O3466)</f>
        <v>8</v>
      </c>
      <c r="P3465" s="185"/>
    </row>
    <row r="3466" spans="1:16" hidden="1" outlineLevel="2">
      <c r="E3466" s="59"/>
      <c r="F3466" s="60"/>
      <c r="G3466" s="34"/>
      <c r="H3466" s="30"/>
      <c r="I3466" s="35"/>
      <c r="J3466" s="41"/>
      <c r="K3466" s="10"/>
      <c r="L3466" s="32"/>
      <c r="M3466" s="10"/>
      <c r="N3466" s="33">
        <v>8</v>
      </c>
      <c r="O3466" s="31">
        <f>ROUND(PRODUCT(J3466:N3466),2)</f>
        <v>8</v>
      </c>
      <c r="P3466" s="185"/>
    </row>
    <row r="3467" spans="1:16" ht="30" hidden="1" outlineLevel="1">
      <c r="A3467" s="2">
        <v>8</v>
      </c>
      <c r="B3467" s="2">
        <v>11</v>
      </c>
      <c r="C3467" s="2">
        <f>C3465+1</f>
        <v>16</v>
      </c>
      <c r="E3467" s="20" t="str">
        <f>CONCATENATE(A3467,".",B3467,".",C3467)</f>
        <v>8.11.16</v>
      </c>
      <c r="F3467" s="21" t="s">
        <v>4492</v>
      </c>
      <c r="G3467" s="65">
        <v>91953</v>
      </c>
      <c r="H3467" s="23" t="s">
        <v>558</v>
      </c>
      <c r="I3467" s="24" t="s">
        <v>36</v>
      </c>
      <c r="J3467" s="32"/>
      <c r="K3467" s="10"/>
      <c r="L3467" s="32"/>
      <c r="M3467" s="10"/>
      <c r="N3467" s="33"/>
      <c r="O3467" s="11">
        <f>SUM(O3468)</f>
        <v>26</v>
      </c>
      <c r="P3467" s="185"/>
    </row>
    <row r="3468" spans="1:16" hidden="1" outlineLevel="2">
      <c r="E3468" s="59"/>
      <c r="F3468" s="60"/>
      <c r="G3468" s="34"/>
      <c r="H3468" s="30"/>
      <c r="I3468" s="35"/>
      <c r="J3468" s="41"/>
      <c r="K3468" s="10"/>
      <c r="L3468" s="32"/>
      <c r="M3468" s="10"/>
      <c r="N3468" s="33">
        <f>5+21</f>
        <v>26</v>
      </c>
      <c r="O3468" s="31">
        <f>ROUND(PRODUCT(J3468:N3468),2)</f>
        <v>26</v>
      </c>
      <c r="P3468" s="185"/>
    </row>
    <row r="3469" spans="1:16" ht="30" hidden="1" outlineLevel="1">
      <c r="A3469" s="2">
        <v>8</v>
      </c>
      <c r="B3469" s="2">
        <v>11</v>
      </c>
      <c r="C3469" s="2">
        <f>C3467+1</f>
        <v>17</v>
      </c>
      <c r="E3469" s="20" t="str">
        <f>CONCATENATE(A3469,".",B3469,".",C3469)</f>
        <v>8.11.17</v>
      </c>
      <c r="F3469" s="21" t="s">
        <v>4493</v>
      </c>
      <c r="G3469" s="65">
        <v>91959</v>
      </c>
      <c r="H3469" s="23" t="s">
        <v>579</v>
      </c>
      <c r="I3469" s="24" t="s">
        <v>36</v>
      </c>
      <c r="J3469" s="32"/>
      <c r="K3469" s="10"/>
      <c r="L3469" s="32"/>
      <c r="M3469" s="10"/>
      <c r="N3469" s="33"/>
      <c r="O3469" s="11">
        <f>SUM(O3470)</f>
        <v>4</v>
      </c>
      <c r="P3469" s="185"/>
    </row>
    <row r="3470" spans="1:16" hidden="1" outlineLevel="2">
      <c r="E3470" s="59"/>
      <c r="F3470" s="60"/>
      <c r="G3470" s="34"/>
      <c r="H3470" s="30"/>
      <c r="I3470" s="35"/>
      <c r="J3470" s="41"/>
      <c r="K3470" s="10"/>
      <c r="L3470" s="32"/>
      <c r="M3470" s="10"/>
      <c r="N3470" s="33">
        <v>4</v>
      </c>
      <c r="O3470" s="31">
        <f>ROUND(PRODUCT(J3470:N3470),2)</f>
        <v>4</v>
      </c>
      <c r="P3470" s="185"/>
    </row>
    <row r="3471" spans="1:16" ht="45" hidden="1" outlineLevel="1">
      <c r="A3471" s="2">
        <v>8</v>
      </c>
      <c r="B3471" s="2">
        <v>11</v>
      </c>
      <c r="C3471" s="2">
        <f>C3469+1</f>
        <v>18</v>
      </c>
      <c r="E3471" s="20" t="str">
        <f>CONCATENATE(A3471,".",B3471,".",C3471)</f>
        <v>8.11.18</v>
      </c>
      <c r="F3471" s="21" t="s">
        <v>4494</v>
      </c>
      <c r="G3471" s="65">
        <v>101879</v>
      </c>
      <c r="H3471" s="23" t="s">
        <v>691</v>
      </c>
      <c r="I3471" s="24" t="s">
        <v>36</v>
      </c>
      <c r="J3471" s="32"/>
      <c r="K3471" s="10"/>
      <c r="L3471" s="32"/>
      <c r="M3471" s="10"/>
      <c r="N3471" s="33"/>
      <c r="O3471" s="11">
        <f>SUM(O3472)</f>
        <v>1</v>
      </c>
      <c r="P3471" s="185"/>
    </row>
    <row r="3472" spans="1:16" hidden="1" outlineLevel="2">
      <c r="E3472" s="59"/>
      <c r="F3472" s="60"/>
      <c r="G3472" s="34"/>
      <c r="H3472" s="30"/>
      <c r="I3472" s="35"/>
      <c r="J3472" s="41"/>
      <c r="K3472" s="10"/>
      <c r="L3472" s="32"/>
      <c r="M3472" s="10"/>
      <c r="N3472" s="33">
        <v>1</v>
      </c>
      <c r="O3472" s="31">
        <f>ROUND(PRODUCT(J3472:N3472),2)</f>
        <v>1</v>
      </c>
      <c r="P3472" s="185"/>
    </row>
    <row r="3473" spans="1:16" ht="30" hidden="1" outlineLevel="1">
      <c r="A3473" s="2">
        <v>8</v>
      </c>
      <c r="B3473" s="2">
        <v>11</v>
      </c>
      <c r="C3473" s="2">
        <f>C3471+1</f>
        <v>19</v>
      </c>
      <c r="E3473" s="20" t="str">
        <f>CONCATENATE(A3473,".",B3473,".",C3473)</f>
        <v>8.11.19</v>
      </c>
      <c r="F3473" s="21" t="s">
        <v>4495</v>
      </c>
      <c r="G3473" s="65">
        <v>101876</v>
      </c>
      <c r="H3473" s="23" t="s">
        <v>4202</v>
      </c>
      <c r="I3473" s="24" t="s">
        <v>36</v>
      </c>
      <c r="J3473" s="32"/>
      <c r="K3473" s="10"/>
      <c r="L3473" s="32"/>
      <c r="M3473" s="10"/>
      <c r="N3473" s="33"/>
      <c r="O3473" s="11">
        <f>SUM(O3474)</f>
        <v>1</v>
      </c>
      <c r="P3473" s="185"/>
    </row>
    <row r="3474" spans="1:16" hidden="1" outlineLevel="2">
      <c r="E3474" s="59"/>
      <c r="F3474" s="60"/>
      <c r="G3474" s="34"/>
      <c r="H3474" s="30"/>
      <c r="I3474" s="35"/>
      <c r="J3474" s="41"/>
      <c r="K3474" s="10"/>
      <c r="L3474" s="32"/>
      <c r="M3474" s="10"/>
      <c r="N3474" s="33">
        <v>1</v>
      </c>
      <c r="O3474" s="31">
        <f>ROUND(PRODUCT(J3474:N3474),2)</f>
        <v>1</v>
      </c>
      <c r="P3474" s="185"/>
    </row>
    <row r="3475" spans="1:16" ht="30" hidden="1" outlineLevel="1">
      <c r="A3475" s="2">
        <v>8</v>
      </c>
      <c r="B3475" s="2">
        <v>11</v>
      </c>
      <c r="C3475" s="2">
        <f>C3473+1</f>
        <v>20</v>
      </c>
      <c r="E3475" s="20" t="str">
        <f>CONCATENATE(A3475,".",B3475,".",C3475)</f>
        <v>8.11.20</v>
      </c>
      <c r="F3475" s="21" t="s">
        <v>4496</v>
      </c>
      <c r="G3475" s="65">
        <v>92008</v>
      </c>
      <c r="H3475" s="23" t="s">
        <v>588</v>
      </c>
      <c r="I3475" s="24" t="s">
        <v>36</v>
      </c>
      <c r="J3475" s="32"/>
      <c r="K3475" s="10"/>
      <c r="L3475" s="32"/>
      <c r="M3475" s="10"/>
      <c r="N3475" s="33"/>
      <c r="O3475" s="11">
        <f>SUM(O3476)</f>
        <v>28</v>
      </c>
      <c r="P3475" s="185"/>
    </row>
    <row r="3476" spans="1:16" hidden="1" outlineLevel="2">
      <c r="E3476" s="59"/>
      <c r="F3476" s="60"/>
      <c r="G3476" s="34"/>
      <c r="H3476" s="30"/>
      <c r="I3476" s="35"/>
      <c r="J3476" s="41"/>
      <c r="K3476" s="10"/>
      <c r="L3476" s="32"/>
      <c r="M3476" s="10"/>
      <c r="N3476" s="33">
        <v>28</v>
      </c>
      <c r="O3476" s="31">
        <f>ROUND(PRODUCT(J3476:N3476),2)</f>
        <v>28</v>
      </c>
      <c r="P3476" s="185"/>
    </row>
    <row r="3477" spans="1:16" ht="30" hidden="1" outlineLevel="1">
      <c r="A3477" s="2">
        <v>8</v>
      </c>
      <c r="B3477" s="2">
        <v>11</v>
      </c>
      <c r="C3477" s="2">
        <f>C3475+1</f>
        <v>21</v>
      </c>
      <c r="E3477" s="20" t="str">
        <f>CONCATENATE(A3477,".",B3477,".",C3477)</f>
        <v>8.11.21</v>
      </c>
      <c r="F3477" s="21" t="s">
        <v>4497</v>
      </c>
      <c r="G3477" s="65">
        <v>92000</v>
      </c>
      <c r="H3477" s="23" t="s">
        <v>591</v>
      </c>
      <c r="I3477" s="24" t="s">
        <v>36</v>
      </c>
      <c r="J3477" s="32"/>
      <c r="K3477" s="10"/>
      <c r="L3477" s="32"/>
      <c r="M3477" s="10"/>
      <c r="N3477" s="33"/>
      <c r="O3477" s="11">
        <f>SUM(O3478)</f>
        <v>71</v>
      </c>
      <c r="P3477" s="185"/>
    </row>
    <row r="3478" spans="1:16" hidden="1" outlineLevel="2">
      <c r="E3478" s="59"/>
      <c r="F3478" s="60"/>
      <c r="G3478" s="34"/>
      <c r="H3478" s="30"/>
      <c r="I3478" s="35"/>
      <c r="J3478" s="41"/>
      <c r="K3478" s="10"/>
      <c r="L3478" s="32"/>
      <c r="M3478" s="10"/>
      <c r="N3478" s="33">
        <v>71</v>
      </c>
      <c r="O3478" s="31">
        <f>ROUND(PRODUCT(J3478:N3478),2)</f>
        <v>71</v>
      </c>
      <c r="P3478" s="185"/>
    </row>
    <row r="3479" spans="1:16" hidden="1" outlineLevel="1">
      <c r="A3479" s="2">
        <v>8</v>
      </c>
      <c r="B3479" s="2">
        <v>11</v>
      </c>
      <c r="C3479" s="2">
        <f>C3477+1</f>
        <v>22</v>
      </c>
      <c r="E3479" s="20" t="str">
        <f>CONCATENATE(A3479,".",B3479,".",C3479)</f>
        <v>8.11.22</v>
      </c>
      <c r="F3479" s="21" t="s">
        <v>4498</v>
      </c>
      <c r="G3479" s="22" t="s">
        <v>3232</v>
      </c>
      <c r="H3479" s="23" t="s">
        <v>3233</v>
      </c>
      <c r="I3479" s="24" t="s">
        <v>36</v>
      </c>
      <c r="J3479" s="32"/>
      <c r="K3479" s="10"/>
      <c r="L3479" s="32"/>
      <c r="M3479" s="10"/>
      <c r="N3479" s="33"/>
      <c r="O3479" s="11">
        <f>SUM(O3480)</f>
        <v>1</v>
      </c>
      <c r="P3479" s="185"/>
    </row>
    <row r="3480" spans="1:16" hidden="1" outlineLevel="2">
      <c r="E3480" s="59"/>
      <c r="F3480" s="60"/>
      <c r="G3480" s="34"/>
      <c r="H3480" s="30"/>
      <c r="I3480" s="35"/>
      <c r="J3480" s="41"/>
      <c r="K3480" s="10"/>
      <c r="L3480" s="32"/>
      <c r="M3480" s="10"/>
      <c r="N3480" s="33">
        <v>1</v>
      </c>
      <c r="O3480" s="31">
        <f>ROUND(PRODUCT(J3480:N3480),2)</f>
        <v>1</v>
      </c>
      <c r="P3480" s="185"/>
    </row>
    <row r="3481" spans="1:16" hidden="1" outlineLevel="1">
      <c r="A3481" s="2">
        <v>8</v>
      </c>
      <c r="B3481" s="2">
        <v>11</v>
      </c>
      <c r="C3481" s="2">
        <f>C3479+1</f>
        <v>23</v>
      </c>
      <c r="E3481" s="20" t="str">
        <f>CONCATENATE(A3481,".",B3481,".",C3481)</f>
        <v>8.11.23</v>
      </c>
      <c r="F3481" s="21" t="s">
        <v>4499</v>
      </c>
      <c r="G3481" s="22" t="s">
        <v>3238</v>
      </c>
      <c r="H3481" s="23" t="s">
        <v>3239</v>
      </c>
      <c r="I3481" s="24" t="s">
        <v>36</v>
      </c>
      <c r="J3481" s="32"/>
      <c r="K3481" s="10"/>
      <c r="L3481" s="32"/>
      <c r="M3481" s="10"/>
      <c r="N3481" s="33"/>
      <c r="O3481" s="11">
        <f>SUM(O3482)</f>
        <v>8</v>
      </c>
      <c r="P3481" s="185"/>
    </row>
    <row r="3482" spans="1:16" hidden="1" outlineLevel="2">
      <c r="E3482" s="59"/>
      <c r="F3482" s="60"/>
      <c r="G3482" s="34"/>
      <c r="H3482" s="30"/>
      <c r="I3482" s="35"/>
      <c r="J3482" s="41"/>
      <c r="K3482" s="10"/>
      <c r="L3482" s="32"/>
      <c r="M3482" s="10"/>
      <c r="N3482" s="33">
        <v>8</v>
      </c>
      <c r="O3482" s="31">
        <f>ROUND(PRODUCT(J3482:N3482),2)</f>
        <v>8</v>
      </c>
      <c r="P3482" s="185"/>
    </row>
    <row r="3483" spans="1:16" ht="30" hidden="1" outlineLevel="1">
      <c r="A3483" s="2">
        <v>8</v>
      </c>
      <c r="B3483" s="2">
        <v>11</v>
      </c>
      <c r="C3483" s="2">
        <f>C3481+1</f>
        <v>24</v>
      </c>
      <c r="E3483" s="20" t="str">
        <f>CONCATENATE(A3483,".",B3483,".",C3483)</f>
        <v>8.11.24</v>
      </c>
      <c r="F3483" s="21" t="s">
        <v>4500</v>
      </c>
      <c r="G3483" s="22" t="s">
        <v>3250</v>
      </c>
      <c r="H3483" s="23" t="s">
        <v>3251</v>
      </c>
      <c r="I3483" s="24" t="s">
        <v>36</v>
      </c>
      <c r="J3483" s="32"/>
      <c r="K3483" s="10"/>
      <c r="L3483" s="32"/>
      <c r="M3483" s="10"/>
      <c r="N3483" s="33"/>
      <c r="O3483" s="11">
        <f>SUM(O3484)</f>
        <v>8</v>
      </c>
      <c r="P3483" s="185"/>
    </row>
    <row r="3484" spans="1:16" hidden="1" outlineLevel="2">
      <c r="E3484" s="59"/>
      <c r="F3484" s="60"/>
      <c r="G3484" s="34"/>
      <c r="H3484" s="30"/>
      <c r="I3484" s="35"/>
      <c r="J3484" s="41"/>
      <c r="K3484" s="10"/>
      <c r="L3484" s="32"/>
      <c r="M3484" s="10"/>
      <c r="N3484" s="33">
        <v>8</v>
      </c>
      <c r="O3484" s="31">
        <f>ROUND(PRODUCT(J3484:N3484),2)</f>
        <v>8</v>
      </c>
      <c r="P3484" s="185"/>
    </row>
    <row r="3485" spans="1:16" hidden="1" outlineLevel="1">
      <c r="A3485" s="2">
        <v>8</v>
      </c>
      <c r="B3485" s="2">
        <v>11</v>
      </c>
      <c r="C3485" s="2">
        <f>C3483+1</f>
        <v>25</v>
      </c>
      <c r="E3485" s="20" t="str">
        <f>CONCATENATE(A3485,".",B3485,".",C3485)</f>
        <v>8.11.25</v>
      </c>
      <c r="F3485" s="21" t="s">
        <v>4501</v>
      </c>
      <c r="G3485" s="22" t="s">
        <v>4502</v>
      </c>
      <c r="H3485" s="23" t="s">
        <v>3464</v>
      </c>
      <c r="I3485" s="24" t="s">
        <v>144</v>
      </c>
      <c r="J3485" s="32"/>
      <c r="K3485" s="10"/>
      <c r="L3485" s="32"/>
      <c r="M3485" s="10"/>
      <c r="N3485" s="33"/>
      <c r="O3485" s="11">
        <f>SUM(O3486)</f>
        <v>178</v>
      </c>
      <c r="P3485" s="185"/>
    </row>
    <row r="3486" spans="1:16" hidden="1" outlineLevel="2">
      <c r="E3486" s="59"/>
      <c r="F3486" s="60"/>
      <c r="G3486" s="34"/>
      <c r="H3486" s="30"/>
      <c r="I3486" s="35"/>
      <c r="J3486" s="41"/>
      <c r="K3486" s="10"/>
      <c r="L3486" s="32"/>
      <c r="M3486" s="10"/>
      <c r="N3486" s="33">
        <v>178</v>
      </c>
      <c r="O3486" s="31">
        <f>ROUND(PRODUCT(J3486:N3486),2)</f>
        <v>178</v>
      </c>
      <c r="P3486" s="185"/>
    </row>
    <row r="3487" spans="1:16" ht="30" hidden="1" outlineLevel="1">
      <c r="A3487" s="2">
        <v>8</v>
      </c>
      <c r="B3487" s="2">
        <v>11</v>
      </c>
      <c r="C3487" s="2">
        <f>C3485+1</f>
        <v>26</v>
      </c>
      <c r="E3487" s="20" t="str">
        <f>CONCATENATE(A3487,".",B3487,".",C3487)</f>
        <v>8.11.26</v>
      </c>
      <c r="F3487" s="21" t="s">
        <v>4503</v>
      </c>
      <c r="G3487" s="22" t="s">
        <v>3253</v>
      </c>
      <c r="H3487" s="23" t="s">
        <v>3254</v>
      </c>
      <c r="I3487" s="24" t="s">
        <v>36</v>
      </c>
      <c r="J3487" s="32"/>
      <c r="K3487" s="10"/>
      <c r="L3487" s="32"/>
      <c r="M3487" s="10"/>
      <c r="N3487" s="33"/>
      <c r="O3487" s="11">
        <f>SUM(O3488)</f>
        <v>69</v>
      </c>
      <c r="P3487" s="185"/>
    </row>
    <row r="3488" spans="1:16" hidden="1" outlineLevel="2">
      <c r="E3488" s="59"/>
      <c r="F3488" s="60"/>
      <c r="G3488" s="34"/>
      <c r="H3488" s="30"/>
      <c r="I3488" s="35"/>
      <c r="J3488" s="41"/>
      <c r="K3488" s="10"/>
      <c r="L3488" s="32"/>
      <c r="M3488" s="10"/>
      <c r="N3488" s="33">
        <v>69</v>
      </c>
      <c r="O3488" s="31">
        <f>ROUND(PRODUCT(J3488:N3488),2)</f>
        <v>69</v>
      </c>
      <c r="P3488" s="185"/>
    </row>
    <row r="3489" spans="1:16" hidden="1" outlineLevel="1">
      <c r="A3489" s="2">
        <v>8</v>
      </c>
      <c r="B3489" s="2">
        <v>11</v>
      </c>
      <c r="C3489" s="2">
        <f>C3487+1</f>
        <v>27</v>
      </c>
      <c r="E3489" s="20" t="str">
        <f>CONCATENATE(A3489,".",B3489,".",C3489)</f>
        <v>8.11.27</v>
      </c>
      <c r="F3489" s="21" t="s">
        <v>4504</v>
      </c>
      <c r="G3489" s="22" t="s">
        <v>3256</v>
      </c>
      <c r="H3489" s="23" t="s">
        <v>3257</v>
      </c>
      <c r="I3489" s="24" t="s">
        <v>36</v>
      </c>
      <c r="J3489" s="32"/>
      <c r="K3489" s="10"/>
      <c r="L3489" s="32"/>
      <c r="M3489" s="10"/>
      <c r="N3489" s="33"/>
      <c r="O3489" s="11">
        <f>SUM(O3490)</f>
        <v>96</v>
      </c>
      <c r="P3489" s="185"/>
    </row>
    <row r="3490" spans="1:16" hidden="1" outlineLevel="2">
      <c r="E3490" s="59"/>
      <c r="F3490" s="60"/>
      <c r="G3490" s="34"/>
      <c r="H3490" s="30"/>
      <c r="I3490" s="35"/>
      <c r="J3490" s="41"/>
      <c r="K3490" s="10"/>
      <c r="L3490" s="32"/>
      <c r="M3490" s="10"/>
      <c r="N3490" s="33">
        <v>96</v>
      </c>
      <c r="O3490" s="31">
        <f>ROUND(PRODUCT(J3490:N3490),2)</f>
        <v>96</v>
      </c>
      <c r="P3490" s="185"/>
    </row>
    <row r="3491" spans="1:16" hidden="1" outlineLevel="1">
      <c r="A3491" s="2">
        <v>8</v>
      </c>
      <c r="B3491" s="2">
        <v>11</v>
      </c>
      <c r="C3491" s="2">
        <f>C3489+1</f>
        <v>28</v>
      </c>
      <c r="E3491" s="20" t="str">
        <f>CONCATENATE(A3491,".",B3491,".",C3491)</f>
        <v>8.11.28</v>
      </c>
      <c r="F3491" s="21" t="s">
        <v>4505</v>
      </c>
      <c r="G3491" s="22" t="s">
        <v>4506</v>
      </c>
      <c r="H3491" s="23" t="s">
        <v>4507</v>
      </c>
      <c r="I3491" s="24" t="s">
        <v>36</v>
      </c>
      <c r="J3491" s="32"/>
      <c r="K3491" s="10"/>
      <c r="L3491" s="32"/>
      <c r="M3491" s="10"/>
      <c r="N3491" s="33"/>
      <c r="O3491" s="11">
        <f>SUM(O3492)</f>
        <v>73</v>
      </c>
      <c r="P3491" s="185"/>
    </row>
    <row r="3492" spans="1:16" hidden="1" outlineLevel="2">
      <c r="E3492" s="59"/>
      <c r="F3492" s="60"/>
      <c r="G3492" s="34"/>
      <c r="H3492" s="30"/>
      <c r="I3492" s="35"/>
      <c r="J3492" s="41"/>
      <c r="K3492" s="10"/>
      <c r="L3492" s="32"/>
      <c r="M3492" s="10"/>
      <c r="N3492" s="33">
        <v>73</v>
      </c>
      <c r="O3492" s="31">
        <f>ROUND(PRODUCT(J3492:N3492),2)</f>
        <v>73</v>
      </c>
      <c r="P3492" s="185"/>
    </row>
    <row r="3493" spans="1:16" ht="30" hidden="1" outlineLevel="1">
      <c r="A3493" s="2">
        <v>8</v>
      </c>
      <c r="B3493" s="2">
        <v>11</v>
      </c>
      <c r="C3493" s="2">
        <f>C3491+1</f>
        <v>29</v>
      </c>
      <c r="E3493" s="20" t="str">
        <f>CONCATENATE(A3493,".",B3493,".",C3493)</f>
        <v>8.11.29</v>
      </c>
      <c r="F3493" s="21" t="s">
        <v>4508</v>
      </c>
      <c r="G3493" s="22" t="s">
        <v>4226</v>
      </c>
      <c r="H3493" s="23" t="s">
        <v>4227</v>
      </c>
      <c r="I3493" s="24" t="s">
        <v>36</v>
      </c>
      <c r="J3493" s="32"/>
      <c r="K3493" s="10"/>
      <c r="L3493" s="32"/>
      <c r="M3493" s="10"/>
      <c r="N3493" s="33"/>
      <c r="O3493" s="11">
        <f>SUM(O3494)</f>
        <v>1</v>
      </c>
      <c r="P3493" s="185"/>
    </row>
    <row r="3494" spans="1:16" hidden="1" outlineLevel="2">
      <c r="E3494" s="59"/>
      <c r="F3494" s="60"/>
      <c r="G3494" s="34"/>
      <c r="H3494" s="30"/>
      <c r="I3494" s="35"/>
      <c r="J3494" s="41"/>
      <c r="K3494" s="10"/>
      <c r="L3494" s="32"/>
      <c r="M3494" s="10"/>
      <c r="N3494" s="33">
        <v>1</v>
      </c>
      <c r="O3494" s="31">
        <f>ROUND(PRODUCT(J3494:N3494),2)</f>
        <v>1</v>
      </c>
      <c r="P3494" s="185"/>
    </row>
    <row r="3495" spans="1:16" hidden="1" outlineLevel="1">
      <c r="A3495" s="2">
        <v>8</v>
      </c>
      <c r="B3495" s="2">
        <v>11</v>
      </c>
      <c r="C3495" s="2">
        <f>C3491+1</f>
        <v>29</v>
      </c>
      <c r="E3495" s="20" t="str">
        <f>CONCATENATE(A3495,".",B3495,".",C3495)</f>
        <v>8.11.29</v>
      </c>
      <c r="F3495" s="21" t="s">
        <v>4509</v>
      </c>
      <c r="G3495" s="22" t="s">
        <v>3223</v>
      </c>
      <c r="H3495" s="23" t="s">
        <v>3224</v>
      </c>
      <c r="I3495" s="24" t="s">
        <v>36</v>
      </c>
      <c r="J3495" s="32"/>
      <c r="K3495" s="10"/>
      <c r="L3495" s="32"/>
      <c r="M3495" s="10"/>
      <c r="N3495" s="33"/>
      <c r="O3495" s="11">
        <f>SUM(O3496)</f>
        <v>28</v>
      </c>
      <c r="P3495" s="185"/>
    </row>
    <row r="3496" spans="1:16" hidden="1" outlineLevel="2">
      <c r="E3496" s="59"/>
      <c r="F3496" s="60"/>
      <c r="G3496" s="34"/>
      <c r="H3496" s="30"/>
      <c r="I3496" s="35"/>
      <c r="J3496" s="41"/>
      <c r="K3496" s="10"/>
      <c r="L3496" s="32"/>
      <c r="M3496" s="10"/>
      <c r="N3496" s="33">
        <v>28</v>
      </c>
      <c r="O3496" s="31">
        <f>ROUND(PRODUCT(J3496:N3496),2)</f>
        <v>28</v>
      </c>
      <c r="P3496" s="185"/>
    </row>
    <row r="3497" spans="1:16" ht="30" hidden="1" outlineLevel="1">
      <c r="A3497" s="2">
        <v>8</v>
      </c>
      <c r="B3497" s="2">
        <v>11</v>
      </c>
      <c r="C3497" s="2">
        <f>C3493+1</f>
        <v>30</v>
      </c>
      <c r="E3497" s="20" t="str">
        <f>CONCATENATE(A3497,".",B3497,".",C3497)</f>
        <v>8.11.30</v>
      </c>
      <c r="F3497" s="21" t="s">
        <v>4510</v>
      </c>
      <c r="G3497" s="22">
        <v>95808</v>
      </c>
      <c r="H3497" s="23" t="s">
        <v>2356</v>
      </c>
      <c r="I3497" s="24" t="s">
        <v>36</v>
      </c>
      <c r="J3497" s="32"/>
      <c r="K3497" s="10"/>
      <c r="L3497" s="32"/>
      <c r="M3497" s="10"/>
      <c r="N3497" s="33"/>
      <c r="O3497" s="11">
        <f>SUM(O3498)</f>
        <v>5</v>
      </c>
      <c r="P3497" s="185"/>
    </row>
    <row r="3498" spans="1:16" hidden="1" outlineLevel="2">
      <c r="E3498" s="59"/>
      <c r="F3498" s="60"/>
      <c r="G3498" s="34"/>
      <c r="H3498" s="30"/>
      <c r="I3498" s="35"/>
      <c r="J3498" s="41"/>
      <c r="K3498" s="10"/>
      <c r="L3498" s="32"/>
      <c r="M3498" s="10"/>
      <c r="N3498" s="33">
        <v>5</v>
      </c>
      <c r="O3498" s="31">
        <f>ROUND(PRODUCT(J3498:N3498),2)</f>
        <v>5</v>
      </c>
      <c r="P3498" s="185"/>
    </row>
    <row r="3499" spans="1:16" ht="30" hidden="1" outlineLevel="1">
      <c r="A3499" s="2">
        <v>8</v>
      </c>
      <c r="B3499" s="2">
        <v>11</v>
      </c>
      <c r="C3499" s="2">
        <f>C3497+1</f>
        <v>31</v>
      </c>
      <c r="E3499" s="20" t="str">
        <f>CONCATENATE(A3499,".",B3499,".",C3499)</f>
        <v>8.11.31</v>
      </c>
      <c r="F3499" s="21" t="s">
        <v>4511</v>
      </c>
      <c r="G3499" s="22">
        <v>95795</v>
      </c>
      <c r="H3499" s="23" t="s">
        <v>2043</v>
      </c>
      <c r="I3499" s="24" t="s">
        <v>36</v>
      </c>
      <c r="J3499" s="32"/>
      <c r="K3499" s="10"/>
      <c r="L3499" s="32"/>
      <c r="M3499" s="10"/>
      <c r="N3499" s="33"/>
      <c r="O3499" s="11">
        <f>SUM(O3500)</f>
        <v>26</v>
      </c>
      <c r="P3499" s="185"/>
    </row>
    <row r="3500" spans="1:16" hidden="1" outlineLevel="2">
      <c r="E3500" s="59"/>
      <c r="F3500" s="60"/>
      <c r="G3500" s="34"/>
      <c r="H3500" s="30"/>
      <c r="I3500" s="35"/>
      <c r="J3500" s="41"/>
      <c r="K3500" s="10"/>
      <c r="L3500" s="32"/>
      <c r="M3500" s="10"/>
      <c r="N3500" s="33">
        <v>26</v>
      </c>
      <c r="O3500" s="31">
        <f>ROUND(PRODUCT(J3500:N3500),2)</f>
        <v>26</v>
      </c>
      <c r="P3500" s="185"/>
    </row>
    <row r="3501" spans="1:16" ht="30" hidden="1" outlineLevel="1">
      <c r="A3501" s="2">
        <v>8</v>
      </c>
      <c r="B3501" s="2">
        <v>11</v>
      </c>
      <c r="C3501" s="2">
        <f>C3499+1</f>
        <v>32</v>
      </c>
      <c r="E3501" s="20" t="str">
        <f>CONCATENATE(A3501,".",B3501,".",C3501)</f>
        <v>8.11.32</v>
      </c>
      <c r="F3501" s="21" t="s">
        <v>4512</v>
      </c>
      <c r="G3501" s="22">
        <v>95727</v>
      </c>
      <c r="H3501" s="23" t="s">
        <v>4513</v>
      </c>
      <c r="I3501" s="24" t="s">
        <v>36</v>
      </c>
      <c r="J3501" s="32"/>
      <c r="K3501" s="10"/>
      <c r="L3501" s="32"/>
      <c r="M3501" s="10"/>
      <c r="N3501" s="33"/>
      <c r="O3501" s="11">
        <f>SUM(O3502)</f>
        <v>80</v>
      </c>
      <c r="P3501" s="185"/>
    </row>
    <row r="3502" spans="1:16" hidden="1" outlineLevel="2">
      <c r="E3502" s="59"/>
      <c r="F3502" s="60"/>
      <c r="G3502" s="34"/>
      <c r="H3502" s="30"/>
      <c r="I3502" s="35"/>
      <c r="J3502" s="41"/>
      <c r="K3502" s="10"/>
      <c r="L3502" s="32"/>
      <c r="M3502" s="10"/>
      <c r="N3502" s="33">
        <v>80</v>
      </c>
      <c r="O3502" s="31">
        <f>ROUND(PRODUCT(J3502:N3502),2)</f>
        <v>80</v>
      </c>
      <c r="P3502" s="185"/>
    </row>
    <row r="3503" spans="1:16" hidden="1" outlineLevel="1">
      <c r="A3503" s="2">
        <v>8</v>
      </c>
      <c r="B3503" s="2">
        <v>11</v>
      </c>
      <c r="C3503" s="2">
        <f>C3501+1</f>
        <v>33</v>
      </c>
      <c r="E3503" s="20" t="str">
        <f>CONCATENATE(A3503,".",B3503,".",C3503)</f>
        <v>8.11.33</v>
      </c>
      <c r="F3503" s="21" t="s">
        <v>4514</v>
      </c>
      <c r="G3503" s="22" t="s">
        <v>4515</v>
      </c>
      <c r="H3503" s="23" t="s">
        <v>4516</v>
      </c>
      <c r="I3503" s="24" t="s">
        <v>36</v>
      </c>
      <c r="J3503" s="32"/>
      <c r="K3503" s="10"/>
      <c r="L3503" s="32"/>
      <c r="M3503" s="10"/>
      <c r="N3503" s="33"/>
      <c r="O3503" s="11">
        <f>SUM(O3504)</f>
        <v>35</v>
      </c>
      <c r="P3503" s="185"/>
    </row>
    <row r="3504" spans="1:16" hidden="1" outlineLevel="2">
      <c r="E3504" s="59"/>
      <c r="F3504" s="60"/>
      <c r="G3504" s="34"/>
      <c r="H3504" s="30"/>
      <c r="I3504" s="35"/>
      <c r="J3504" s="41"/>
      <c r="K3504" s="10"/>
      <c r="L3504" s="32"/>
      <c r="M3504" s="10"/>
      <c r="N3504" s="33">
        <v>35</v>
      </c>
      <c r="O3504" s="31">
        <f>ROUND(PRODUCT(J3504:N3504),2)</f>
        <v>35</v>
      </c>
      <c r="P3504" s="185"/>
    </row>
    <row r="3505" spans="1:17" hidden="1" outlineLevel="1">
      <c r="A3505" s="2">
        <v>8</v>
      </c>
      <c r="B3505" s="2">
        <v>11</v>
      </c>
      <c r="C3505" s="2">
        <f>C3503+1</f>
        <v>34</v>
      </c>
      <c r="E3505" s="20" t="str">
        <f>CONCATENATE(A3505,".",B3505,".",C3505)</f>
        <v>8.11.34</v>
      </c>
      <c r="F3505" s="21" t="s">
        <v>4517</v>
      </c>
      <c r="G3505" s="22" t="s">
        <v>4518</v>
      </c>
      <c r="H3505" s="23" t="s">
        <v>640</v>
      </c>
      <c r="I3505" s="24" t="s">
        <v>36</v>
      </c>
      <c r="J3505" s="32"/>
      <c r="K3505" s="10"/>
      <c r="L3505" s="32"/>
      <c r="M3505" s="10"/>
      <c r="N3505" s="33"/>
      <c r="O3505" s="11">
        <f>SUM(O3506)</f>
        <v>25</v>
      </c>
      <c r="P3505" s="185"/>
    </row>
    <row r="3506" spans="1:17" hidden="1" outlineLevel="2">
      <c r="E3506" s="59"/>
      <c r="F3506" s="60"/>
      <c r="G3506" s="34"/>
      <c r="H3506" s="30"/>
      <c r="I3506" s="35"/>
      <c r="J3506" s="41"/>
      <c r="K3506" s="10"/>
      <c r="L3506" s="32"/>
      <c r="M3506" s="10"/>
      <c r="N3506" s="33">
        <v>25</v>
      </c>
      <c r="O3506" s="31">
        <f>ROUND(PRODUCT(J3506:N3506),2)</f>
        <v>25</v>
      </c>
      <c r="P3506" s="185"/>
    </row>
    <row r="3507" spans="1:17" ht="30" hidden="1" outlineLevel="1">
      <c r="A3507" s="2">
        <v>8</v>
      </c>
      <c r="B3507" s="2">
        <v>11</v>
      </c>
      <c r="C3507" s="2">
        <f>C3505+1</f>
        <v>35</v>
      </c>
      <c r="E3507" s="20" t="str">
        <f>CONCATENATE(A3507,".",B3507,".",C3507)</f>
        <v>8.11.35</v>
      </c>
      <c r="F3507" s="21" t="s">
        <v>4519</v>
      </c>
      <c r="G3507" s="22">
        <v>101632</v>
      </c>
      <c r="H3507" s="23" t="s">
        <v>4520</v>
      </c>
      <c r="I3507" s="24" t="s">
        <v>36</v>
      </c>
      <c r="J3507" s="32"/>
      <c r="K3507" s="10"/>
      <c r="L3507" s="32"/>
      <c r="M3507" s="10"/>
      <c r="N3507" s="33"/>
      <c r="O3507" s="11">
        <f>SUM(O3508)</f>
        <v>1</v>
      </c>
      <c r="P3507" s="185"/>
    </row>
    <row r="3508" spans="1:17" hidden="1" outlineLevel="2">
      <c r="E3508" s="59"/>
      <c r="F3508" s="60"/>
      <c r="G3508" s="34"/>
      <c r="H3508" s="30"/>
      <c r="I3508" s="35"/>
      <c r="J3508" s="41"/>
      <c r="K3508" s="10"/>
      <c r="L3508" s="32"/>
      <c r="M3508" s="10"/>
      <c r="N3508" s="33">
        <v>1</v>
      </c>
      <c r="O3508" s="31">
        <f>ROUND(PRODUCT(J3508:N3508),2)</f>
        <v>1</v>
      </c>
      <c r="P3508" s="185"/>
    </row>
    <row r="3509" spans="1:17" ht="45" hidden="1" outlineLevel="1">
      <c r="A3509" s="2">
        <v>8</v>
      </c>
      <c r="B3509" s="2">
        <v>11</v>
      </c>
      <c r="C3509" s="2">
        <f>C3507+1</f>
        <v>36</v>
      </c>
      <c r="E3509" s="20" t="str">
        <f>CONCATENATE(A3509,".",B3509,".",C3509)</f>
        <v>8.11.36</v>
      </c>
      <c r="F3509" s="21" t="s">
        <v>4521</v>
      </c>
      <c r="G3509" s="22">
        <v>99250</v>
      </c>
      <c r="H3509" s="23" t="s">
        <v>4522</v>
      </c>
      <c r="I3509" s="24" t="s">
        <v>36</v>
      </c>
      <c r="J3509" s="32"/>
      <c r="K3509" s="10"/>
      <c r="L3509" s="32"/>
      <c r="M3509" s="10"/>
      <c r="N3509" s="33"/>
      <c r="O3509" s="11">
        <f>SUM(O3510)</f>
        <v>5</v>
      </c>
      <c r="P3509" s="185"/>
    </row>
    <row r="3510" spans="1:17" hidden="1" outlineLevel="2">
      <c r="E3510" s="59"/>
      <c r="F3510" s="60"/>
      <c r="G3510" s="34"/>
      <c r="H3510" s="30"/>
      <c r="I3510" s="35"/>
      <c r="J3510" s="41"/>
      <c r="K3510" s="10"/>
      <c r="L3510" s="32"/>
      <c r="M3510" s="10"/>
      <c r="N3510" s="33">
        <v>5</v>
      </c>
      <c r="O3510" s="31">
        <f>ROUND(PRODUCT(J3510:N3510),2)</f>
        <v>5</v>
      </c>
      <c r="P3510" s="185"/>
    </row>
    <row r="3511" spans="1:17" collapsed="1">
      <c r="A3511" s="2">
        <v>8</v>
      </c>
      <c r="B3511" s="2">
        <v>12</v>
      </c>
      <c r="E3511" s="42" t="str">
        <f>CONCATENATE(A3511,".",B3511)</f>
        <v>8.12</v>
      </c>
      <c r="F3511" s="45" t="s">
        <v>4523</v>
      </c>
      <c r="G3511" s="13"/>
      <c r="H3511" s="14" t="s">
        <v>700</v>
      </c>
      <c r="I3511" s="15"/>
      <c r="J3511" s="16"/>
      <c r="K3511" s="17"/>
      <c r="L3511" s="16"/>
      <c r="M3511" s="17"/>
      <c r="N3511" s="18"/>
      <c r="O3511" s="19"/>
      <c r="P3511" s="185"/>
      <c r="Q3511" s="185"/>
    </row>
    <row r="3512" spans="1:17">
      <c r="A3512" s="2">
        <v>8</v>
      </c>
      <c r="B3512" s="2">
        <v>12</v>
      </c>
      <c r="C3512" s="2">
        <v>1</v>
      </c>
      <c r="E3512" s="42" t="str">
        <f>CONCATENATE(A3512,".",B3512,".",C3512)</f>
        <v>8.12.1</v>
      </c>
      <c r="F3512" s="45" t="s">
        <v>4524</v>
      </c>
      <c r="G3512" s="13"/>
      <c r="H3512" s="14" t="s">
        <v>702</v>
      </c>
      <c r="I3512" s="15"/>
      <c r="J3512" s="16"/>
      <c r="K3512" s="17"/>
      <c r="L3512" s="16"/>
      <c r="M3512" s="17"/>
      <c r="N3512" s="18"/>
      <c r="O3512" s="19"/>
      <c r="P3512" s="185"/>
      <c r="Q3512" s="185"/>
    </row>
    <row r="3513" spans="1:17" ht="30" hidden="1" outlineLevel="1">
      <c r="A3513" s="2">
        <v>8</v>
      </c>
      <c r="B3513" s="2">
        <v>12</v>
      </c>
      <c r="C3513" s="2">
        <v>1</v>
      </c>
      <c r="D3513" s="2" t="e">
        <f>#REF!+1</f>
        <v>#REF!</v>
      </c>
      <c r="E3513" s="20" t="e">
        <f>CONCATENATE(A3513,".",B3513,".",C3513,".",D3513)</f>
        <v>#REF!</v>
      </c>
      <c r="F3513" s="21" t="s">
        <v>4525</v>
      </c>
      <c r="G3513" s="22">
        <v>89357</v>
      </c>
      <c r="H3513" s="23" t="s">
        <v>3261</v>
      </c>
      <c r="I3513" s="24" t="s">
        <v>144</v>
      </c>
      <c r="J3513" s="32"/>
      <c r="K3513" s="10"/>
      <c r="L3513" s="32"/>
      <c r="M3513" s="10"/>
      <c r="N3513" s="33"/>
      <c r="O3513" s="11">
        <f>SUM(O3514)</f>
        <v>13.79</v>
      </c>
      <c r="P3513" s="185"/>
    </row>
    <row r="3514" spans="1:17" hidden="1" outlineLevel="1">
      <c r="E3514" s="72"/>
      <c r="F3514" s="21"/>
      <c r="G3514" s="22"/>
      <c r="H3514" s="23"/>
      <c r="I3514" s="35"/>
      <c r="J3514" s="41"/>
      <c r="K3514" s="10"/>
      <c r="L3514" s="32"/>
      <c r="M3514" s="10"/>
      <c r="N3514" s="33">
        <v>13.79</v>
      </c>
      <c r="O3514" s="31">
        <f>ROUND(PRODUCT(J3514:N3514),2)</f>
        <v>13.79</v>
      </c>
      <c r="P3514" s="185"/>
    </row>
    <row r="3515" spans="1:17" ht="30" hidden="1" outlineLevel="1">
      <c r="A3515" s="2">
        <v>8</v>
      </c>
      <c r="B3515" s="2">
        <v>12</v>
      </c>
      <c r="C3515" s="2">
        <v>1</v>
      </c>
      <c r="D3515" s="2" t="e">
        <f>D3513+1</f>
        <v>#REF!</v>
      </c>
      <c r="E3515" s="20" t="e">
        <f>CONCATENATE(A3515,".",B3515,".",C3515,".",D3515)</f>
        <v>#REF!</v>
      </c>
      <c r="F3515" s="21" t="s">
        <v>4526</v>
      </c>
      <c r="G3515" s="22">
        <v>89356</v>
      </c>
      <c r="H3515" s="23" t="s">
        <v>3263</v>
      </c>
      <c r="I3515" s="24" t="s">
        <v>144</v>
      </c>
      <c r="J3515" s="32"/>
      <c r="K3515" s="10"/>
      <c r="L3515" s="32"/>
      <c r="M3515" s="10"/>
      <c r="N3515" s="33"/>
      <c r="O3515" s="11">
        <f>SUM(O3516)</f>
        <v>6.21</v>
      </c>
      <c r="P3515" s="185"/>
    </row>
    <row r="3516" spans="1:17" hidden="1" outlineLevel="1">
      <c r="E3516" s="72"/>
      <c r="F3516" s="21"/>
      <c r="G3516" s="22"/>
      <c r="H3516" s="23"/>
      <c r="I3516" s="35"/>
      <c r="J3516" s="41"/>
      <c r="K3516" s="10"/>
      <c r="L3516" s="32"/>
      <c r="M3516" s="10"/>
      <c r="N3516" s="33">
        <v>6.21</v>
      </c>
      <c r="O3516" s="31">
        <f>ROUND(PRODUCT(J3516:N3516),2)</f>
        <v>6.21</v>
      </c>
      <c r="P3516" s="185"/>
    </row>
    <row r="3517" spans="1:17" ht="30" hidden="1" outlineLevel="1">
      <c r="E3517" s="72"/>
      <c r="F3517" s="21" t="s">
        <v>4527</v>
      </c>
      <c r="G3517" s="22">
        <v>94650</v>
      </c>
      <c r="H3517" s="23" t="s">
        <v>1482</v>
      </c>
      <c r="I3517" s="24" t="s">
        <v>144</v>
      </c>
      <c r="J3517" s="32"/>
      <c r="K3517" s="10"/>
      <c r="L3517" s="32"/>
      <c r="M3517" s="10"/>
      <c r="N3517" s="33"/>
      <c r="O3517" s="11">
        <f>SUM(O3518)</f>
        <v>10.16</v>
      </c>
      <c r="P3517" s="185"/>
    </row>
    <row r="3518" spans="1:17" hidden="1" outlineLevel="1">
      <c r="E3518" s="72"/>
      <c r="F3518" s="21"/>
      <c r="G3518" s="22"/>
      <c r="H3518" s="23"/>
      <c r="I3518" s="35"/>
      <c r="J3518" s="41"/>
      <c r="K3518" s="10"/>
      <c r="L3518" s="32"/>
      <c r="M3518" s="10"/>
      <c r="N3518" s="33">
        <v>10.16</v>
      </c>
      <c r="O3518" s="31">
        <f>ROUND(PRODUCT(J3518:N3518),2)</f>
        <v>10.16</v>
      </c>
      <c r="P3518" s="185"/>
    </row>
    <row r="3519" spans="1:17" ht="30" hidden="1" outlineLevel="1">
      <c r="E3519" s="72"/>
      <c r="F3519" s="21" t="s">
        <v>4528</v>
      </c>
      <c r="G3519" s="22">
        <v>94651</v>
      </c>
      <c r="H3519" s="23" t="s">
        <v>1485</v>
      </c>
      <c r="I3519" s="24" t="s">
        <v>144</v>
      </c>
      <c r="J3519" s="32"/>
      <c r="K3519" s="10"/>
      <c r="L3519" s="32"/>
      <c r="M3519" s="10"/>
      <c r="N3519" s="33"/>
      <c r="O3519" s="11">
        <f>SUM(O3520)</f>
        <v>10.92</v>
      </c>
      <c r="P3519" s="185"/>
    </row>
    <row r="3520" spans="1:17" hidden="1" outlineLevel="1">
      <c r="E3520" s="72"/>
      <c r="F3520" s="21"/>
      <c r="G3520" s="22"/>
      <c r="H3520" s="23"/>
      <c r="I3520" s="35"/>
      <c r="J3520" s="41"/>
      <c r="K3520" s="10"/>
      <c r="L3520" s="32"/>
      <c r="M3520" s="10"/>
      <c r="N3520" s="33">
        <v>10.92</v>
      </c>
      <c r="O3520" s="31">
        <f>ROUND(PRODUCT(J3520:N3520),2)</f>
        <v>10.92</v>
      </c>
      <c r="P3520" s="185"/>
    </row>
    <row r="3521" spans="1:16" ht="30" hidden="1" outlineLevel="1">
      <c r="E3521" s="72"/>
      <c r="F3521" s="21" t="s">
        <v>4529</v>
      </c>
      <c r="G3521" s="22">
        <v>94653</v>
      </c>
      <c r="H3521" s="23" t="s">
        <v>1488</v>
      </c>
      <c r="I3521" s="24" t="s">
        <v>144</v>
      </c>
      <c r="J3521" s="32"/>
      <c r="K3521" s="10"/>
      <c r="L3521" s="32"/>
      <c r="M3521" s="10"/>
      <c r="N3521" s="33"/>
      <c r="O3521" s="11">
        <f>SUM(O3522)</f>
        <v>28.02</v>
      </c>
      <c r="P3521" s="185"/>
    </row>
    <row r="3522" spans="1:16" hidden="1" outlineLevel="1">
      <c r="E3522" s="72"/>
      <c r="F3522" s="21"/>
      <c r="G3522" s="22"/>
      <c r="H3522" s="23"/>
      <c r="I3522" s="35"/>
      <c r="J3522" s="41"/>
      <c r="K3522" s="10"/>
      <c r="L3522" s="32"/>
      <c r="M3522" s="10"/>
      <c r="N3522" s="33">
        <v>28.02</v>
      </c>
      <c r="O3522" s="31">
        <f>ROUND(PRODUCT(J3522:N3522),2)</f>
        <v>28.02</v>
      </c>
      <c r="P3522" s="185"/>
    </row>
    <row r="3523" spans="1:16" hidden="1" outlineLevel="1">
      <c r="A3523" s="2">
        <v>8</v>
      </c>
      <c r="B3523" s="2">
        <v>12</v>
      </c>
      <c r="C3523" s="2">
        <v>1</v>
      </c>
      <c r="D3523" s="2" t="e">
        <f>D3515+1</f>
        <v>#REF!</v>
      </c>
      <c r="E3523" s="20" t="e">
        <f>CONCATENATE(A3523,".",B3523,".",C3523,".",D3523)</f>
        <v>#REF!</v>
      </c>
      <c r="F3523" s="21" t="s">
        <v>4530</v>
      </c>
      <c r="G3523" s="22">
        <v>2342</v>
      </c>
      <c r="H3523" s="23" t="s">
        <v>1491</v>
      </c>
      <c r="I3523" s="24" t="s">
        <v>36</v>
      </c>
      <c r="J3523" s="32"/>
      <c r="K3523" s="10"/>
      <c r="L3523" s="32"/>
      <c r="M3523" s="10"/>
      <c r="N3523" s="33"/>
      <c r="O3523" s="11">
        <f>SUM(O3524)</f>
        <v>1</v>
      </c>
      <c r="P3523" s="185"/>
    </row>
    <row r="3524" spans="1:16" hidden="1" outlineLevel="1">
      <c r="E3524" s="72"/>
      <c r="F3524" s="21"/>
      <c r="G3524" s="22"/>
      <c r="H3524" s="23"/>
      <c r="I3524" s="35"/>
      <c r="J3524" s="41"/>
      <c r="K3524" s="10"/>
      <c r="L3524" s="32"/>
      <c r="M3524" s="10"/>
      <c r="N3524" s="33">
        <v>1</v>
      </c>
      <c r="O3524" s="31">
        <f>ROUND(PRODUCT(J3524:N3524),2)</f>
        <v>1</v>
      </c>
      <c r="P3524" s="185"/>
    </row>
    <row r="3525" spans="1:16" ht="30" hidden="1" outlineLevel="1">
      <c r="E3525" s="72"/>
      <c r="F3525" s="21" t="s">
        <v>4531</v>
      </c>
      <c r="G3525" s="22">
        <v>103957</v>
      </c>
      <c r="H3525" s="23" t="s">
        <v>1494</v>
      </c>
      <c r="I3525" s="24" t="s">
        <v>36</v>
      </c>
      <c r="J3525" s="32"/>
      <c r="K3525" s="10"/>
      <c r="L3525" s="32"/>
      <c r="M3525" s="10"/>
      <c r="N3525" s="33"/>
      <c r="O3525" s="11">
        <f>SUM(O3526)</f>
        <v>1</v>
      </c>
      <c r="P3525" s="185"/>
    </row>
    <row r="3526" spans="1:16" hidden="1" outlineLevel="1">
      <c r="E3526" s="72"/>
      <c r="F3526" s="21"/>
      <c r="G3526" s="22"/>
      <c r="H3526" s="23"/>
      <c r="I3526" s="35"/>
      <c r="J3526" s="41"/>
      <c r="K3526" s="10"/>
      <c r="L3526" s="32"/>
      <c r="M3526" s="10"/>
      <c r="N3526" s="33">
        <v>1</v>
      </c>
      <c r="O3526" s="31">
        <f>ROUND(PRODUCT(J3526:N3526),2)</f>
        <v>1</v>
      </c>
      <c r="P3526" s="185"/>
    </row>
    <row r="3527" spans="1:16" ht="30" hidden="1" outlineLevel="1">
      <c r="E3527" s="72"/>
      <c r="F3527" s="21" t="s">
        <v>4532</v>
      </c>
      <c r="G3527" s="22">
        <v>103958</v>
      </c>
      <c r="H3527" s="23" t="s">
        <v>4533</v>
      </c>
      <c r="I3527" s="24" t="s">
        <v>36</v>
      </c>
      <c r="J3527" s="32"/>
      <c r="K3527" s="10"/>
      <c r="L3527" s="32"/>
      <c r="M3527" s="10"/>
      <c r="N3527" s="33"/>
      <c r="O3527" s="11">
        <f>SUM(O3528)</f>
        <v>2</v>
      </c>
      <c r="P3527" s="185"/>
    </row>
    <row r="3528" spans="1:16" hidden="1" outlineLevel="1">
      <c r="E3528" s="72"/>
      <c r="F3528" s="21"/>
      <c r="G3528" s="22"/>
      <c r="H3528" s="23"/>
      <c r="I3528" s="35"/>
      <c r="J3528" s="41"/>
      <c r="K3528" s="10"/>
      <c r="L3528" s="32"/>
      <c r="M3528" s="10"/>
      <c r="N3528" s="33">
        <v>2</v>
      </c>
      <c r="O3528" s="31">
        <f>ROUND(PRODUCT(J3528:N3528),2)</f>
        <v>2</v>
      </c>
      <c r="P3528" s="185"/>
    </row>
    <row r="3529" spans="1:16" ht="30" hidden="1" outlineLevel="1">
      <c r="A3529" s="2">
        <v>8</v>
      </c>
      <c r="B3529" s="2">
        <v>12</v>
      </c>
      <c r="C3529" s="2">
        <v>1</v>
      </c>
      <c r="D3529" s="2" t="e">
        <f>#REF!+1</f>
        <v>#REF!</v>
      </c>
      <c r="E3529" s="20" t="e">
        <f>CONCATENATE(A3529,".",B3529,".",C3529,".",D3529)</f>
        <v>#REF!</v>
      </c>
      <c r="F3529" s="21" t="s">
        <v>4534</v>
      </c>
      <c r="G3529" s="22">
        <v>89367</v>
      </c>
      <c r="H3529" s="23" t="s">
        <v>726</v>
      </c>
      <c r="I3529" s="24" t="s">
        <v>36</v>
      </c>
      <c r="J3529" s="32"/>
      <c r="K3529" s="10"/>
      <c r="L3529" s="32"/>
      <c r="M3529" s="10"/>
      <c r="N3529" s="33"/>
      <c r="O3529" s="11">
        <f>SUM(O3530)</f>
        <v>3</v>
      </c>
      <c r="P3529" s="185"/>
    </row>
    <row r="3530" spans="1:16" hidden="1" outlineLevel="1">
      <c r="E3530" s="72"/>
      <c r="F3530" s="21"/>
      <c r="G3530" s="22"/>
      <c r="H3530" s="23"/>
      <c r="I3530" s="35"/>
      <c r="J3530" s="41"/>
      <c r="K3530" s="10"/>
      <c r="L3530" s="32"/>
      <c r="M3530" s="10"/>
      <c r="N3530" s="33">
        <v>3</v>
      </c>
      <c r="O3530" s="31">
        <f>ROUND(PRODUCT(J3530:N3530),2)</f>
        <v>3</v>
      </c>
      <c r="P3530" s="185"/>
    </row>
    <row r="3531" spans="1:16" ht="30" hidden="1" outlineLevel="1">
      <c r="A3531" s="2">
        <v>8</v>
      </c>
      <c r="B3531" s="2">
        <v>12</v>
      </c>
      <c r="C3531" s="2">
        <v>1</v>
      </c>
      <c r="D3531" s="2" t="e">
        <f>D3529+1</f>
        <v>#REF!</v>
      </c>
      <c r="E3531" s="20" t="e">
        <f>CONCATENATE(A3531,".",B3531,".",C3531,".",D3531)</f>
        <v>#REF!</v>
      </c>
      <c r="F3531" s="21" t="s">
        <v>4535</v>
      </c>
      <c r="G3531" s="22">
        <v>94676</v>
      </c>
      <c r="H3531" s="23" t="s">
        <v>1501</v>
      </c>
      <c r="I3531" s="24" t="s">
        <v>36</v>
      </c>
      <c r="J3531" s="32"/>
      <c r="K3531" s="10"/>
      <c r="L3531" s="32"/>
      <c r="M3531" s="10"/>
      <c r="N3531" s="33"/>
      <c r="O3531" s="11">
        <f>SUM(O3532)</f>
        <v>7</v>
      </c>
      <c r="P3531" s="185"/>
    </row>
    <row r="3532" spans="1:16" hidden="1" outlineLevel="1">
      <c r="E3532" s="72"/>
      <c r="F3532" s="21"/>
      <c r="G3532" s="22"/>
      <c r="H3532" s="23"/>
      <c r="I3532" s="35"/>
      <c r="J3532" s="41"/>
      <c r="K3532" s="10"/>
      <c r="L3532" s="32"/>
      <c r="M3532" s="10"/>
      <c r="N3532" s="33">
        <v>7</v>
      </c>
      <c r="O3532" s="31">
        <f>ROUND(PRODUCT(J3532:N3532),2)</f>
        <v>7</v>
      </c>
      <c r="P3532" s="185"/>
    </row>
    <row r="3533" spans="1:16" ht="30" hidden="1" outlineLevel="1">
      <c r="A3533" s="2">
        <v>8</v>
      </c>
      <c r="B3533" s="2">
        <v>12</v>
      </c>
      <c r="C3533" s="2">
        <v>1</v>
      </c>
      <c r="D3533" s="2" t="e">
        <f>D3531+1</f>
        <v>#REF!</v>
      </c>
      <c r="E3533" s="20" t="e">
        <f>CONCATENATE(A3533,".",B3533,".",C3533,".",D3533)</f>
        <v>#REF!</v>
      </c>
      <c r="F3533" s="21" t="s">
        <v>4536</v>
      </c>
      <c r="G3533" s="22">
        <v>94678</v>
      </c>
      <c r="H3533" s="23" t="s">
        <v>1504</v>
      </c>
      <c r="I3533" s="24" t="s">
        <v>36</v>
      </c>
      <c r="J3533" s="32"/>
      <c r="K3533" s="10"/>
      <c r="L3533" s="32"/>
      <c r="M3533" s="10"/>
      <c r="N3533" s="33"/>
      <c r="O3533" s="11">
        <f>SUM(O3534)</f>
        <v>2</v>
      </c>
      <c r="P3533" s="185"/>
    </row>
    <row r="3534" spans="1:16" hidden="1" outlineLevel="1">
      <c r="E3534" s="72"/>
      <c r="F3534" s="21"/>
      <c r="G3534" s="22"/>
      <c r="H3534" s="23"/>
      <c r="I3534" s="35"/>
      <c r="J3534" s="41"/>
      <c r="K3534" s="10"/>
      <c r="L3534" s="32"/>
      <c r="M3534" s="10"/>
      <c r="N3534" s="33">
        <v>2</v>
      </c>
      <c r="O3534" s="31">
        <f>ROUND(PRODUCT(J3534:N3534),2)</f>
        <v>2</v>
      </c>
      <c r="P3534" s="185"/>
    </row>
    <row r="3535" spans="1:16" ht="30" hidden="1" outlineLevel="1">
      <c r="A3535" s="2">
        <v>8</v>
      </c>
      <c r="B3535" s="2">
        <v>12</v>
      </c>
      <c r="C3535" s="2">
        <v>1</v>
      </c>
      <c r="D3535" s="2" t="e">
        <f>D3533+1</f>
        <v>#REF!</v>
      </c>
      <c r="E3535" s="20" t="e">
        <f>CONCATENATE(A3535,".",B3535,".",C3535,".",D3535)</f>
        <v>#REF!</v>
      </c>
      <c r="F3535" s="21" t="s">
        <v>4537</v>
      </c>
      <c r="G3535" s="22">
        <v>94682</v>
      </c>
      <c r="H3535" s="23" t="s">
        <v>1507</v>
      </c>
      <c r="I3535" s="24" t="s">
        <v>36</v>
      </c>
      <c r="J3535" s="32"/>
      <c r="K3535" s="10"/>
      <c r="L3535" s="32"/>
      <c r="M3535" s="10"/>
      <c r="N3535" s="33"/>
      <c r="O3535" s="11">
        <f>SUM(O3536)</f>
        <v>5</v>
      </c>
      <c r="P3535" s="185"/>
    </row>
    <row r="3536" spans="1:16" hidden="1" outlineLevel="1">
      <c r="E3536" s="72"/>
      <c r="F3536" s="21"/>
      <c r="G3536" s="22"/>
      <c r="H3536" s="23"/>
      <c r="I3536" s="35"/>
      <c r="J3536" s="41"/>
      <c r="K3536" s="10"/>
      <c r="L3536" s="32"/>
      <c r="M3536" s="10"/>
      <c r="N3536" s="33">
        <v>5</v>
      </c>
      <c r="O3536" s="31">
        <f>ROUND(PRODUCT(J3536:N3536),2)</f>
        <v>5</v>
      </c>
      <c r="P3536" s="185"/>
    </row>
    <row r="3537" spans="1:16" ht="30" hidden="1" outlineLevel="1">
      <c r="A3537" s="2">
        <v>8</v>
      </c>
      <c r="B3537" s="2">
        <v>12</v>
      </c>
      <c r="C3537" s="2">
        <v>1</v>
      </c>
      <c r="D3537" s="2" t="e">
        <f>#REF!+1</f>
        <v>#REF!</v>
      </c>
      <c r="E3537" s="20" t="e">
        <f>CONCATENATE(A3537,".",B3537,".",C3537,".",D3537)</f>
        <v>#REF!</v>
      </c>
      <c r="F3537" s="21" t="s">
        <v>4538</v>
      </c>
      <c r="G3537" s="22">
        <v>94697</v>
      </c>
      <c r="H3537" s="23" t="s">
        <v>1510</v>
      </c>
      <c r="I3537" s="24" t="s">
        <v>36</v>
      </c>
      <c r="J3537" s="32"/>
      <c r="K3537" s="10"/>
      <c r="L3537" s="32"/>
      <c r="M3537" s="10"/>
      <c r="N3537" s="33"/>
      <c r="O3537" s="11">
        <f>SUM(O3538)</f>
        <v>2</v>
      </c>
      <c r="P3537" s="185"/>
    </row>
    <row r="3538" spans="1:16" hidden="1" outlineLevel="1">
      <c r="E3538" s="72"/>
      <c r="F3538" s="21"/>
      <c r="G3538" s="22"/>
      <c r="H3538" s="23"/>
      <c r="I3538" s="35"/>
      <c r="J3538" s="41"/>
      <c r="K3538" s="10"/>
      <c r="L3538" s="32"/>
      <c r="M3538" s="10"/>
      <c r="N3538" s="33">
        <v>2</v>
      </c>
      <c r="O3538" s="31">
        <f>ROUND(PRODUCT(J3538:N3538),2)</f>
        <v>2</v>
      </c>
      <c r="P3538" s="185"/>
    </row>
    <row r="3539" spans="1:16" ht="30" hidden="1" outlineLevel="1">
      <c r="A3539" s="2">
        <v>8</v>
      </c>
      <c r="B3539" s="2">
        <v>12</v>
      </c>
      <c r="C3539" s="2">
        <v>1</v>
      </c>
      <c r="D3539" s="2" t="e">
        <f>D3537+1</f>
        <v>#REF!</v>
      </c>
      <c r="E3539" s="20" t="e">
        <f>CONCATENATE(A3539,".",B3539,".",C3539,".",D3539)</f>
        <v>#REF!</v>
      </c>
      <c r="F3539" s="21" t="s">
        <v>4539</v>
      </c>
      <c r="G3539" s="22">
        <v>94694</v>
      </c>
      <c r="H3539" s="23" t="s">
        <v>1513</v>
      </c>
      <c r="I3539" s="24" t="s">
        <v>36</v>
      </c>
      <c r="J3539" s="32"/>
      <c r="K3539" s="10"/>
      <c r="L3539" s="32"/>
      <c r="M3539" s="10"/>
      <c r="N3539" s="33"/>
      <c r="O3539" s="11">
        <f>SUM(O3540)</f>
        <v>1</v>
      </c>
      <c r="P3539" s="185"/>
    </row>
    <row r="3540" spans="1:16" hidden="1" outlineLevel="1">
      <c r="E3540" s="72"/>
      <c r="F3540" s="21"/>
      <c r="G3540" s="22"/>
      <c r="H3540" s="23"/>
      <c r="I3540" s="35"/>
      <c r="J3540" s="41"/>
      <c r="K3540" s="10"/>
      <c r="L3540" s="32"/>
      <c r="M3540" s="10"/>
      <c r="N3540" s="33">
        <v>1</v>
      </c>
      <c r="O3540" s="31">
        <f>ROUND(PRODUCT(J3540:N3540),2)</f>
        <v>1</v>
      </c>
      <c r="P3540" s="185"/>
    </row>
    <row r="3541" spans="1:16" ht="30" hidden="1" outlineLevel="1">
      <c r="A3541" s="2">
        <v>8</v>
      </c>
      <c r="B3541" s="2">
        <v>12</v>
      </c>
      <c r="C3541" s="2">
        <v>1</v>
      </c>
      <c r="D3541" s="2" t="e">
        <f>D3539+1</f>
        <v>#REF!</v>
      </c>
      <c r="E3541" s="20" t="e">
        <f>CONCATENATE(A3541,".",B3541,".",C3541,".",D3541)</f>
        <v>#REF!</v>
      </c>
      <c r="F3541" s="21" t="s">
        <v>4540</v>
      </c>
      <c r="G3541" s="22">
        <v>94692</v>
      </c>
      <c r="H3541" s="23" t="s">
        <v>1516</v>
      </c>
      <c r="I3541" s="24" t="s">
        <v>36</v>
      </c>
      <c r="J3541" s="32"/>
      <c r="K3541" s="10"/>
      <c r="L3541" s="32"/>
      <c r="M3541" s="10"/>
      <c r="N3541" s="33"/>
      <c r="O3541" s="11">
        <f>SUM(O3542)</f>
        <v>1</v>
      </c>
      <c r="P3541" s="185"/>
    </row>
    <row r="3542" spans="1:16" hidden="1" outlineLevel="1">
      <c r="E3542" s="72"/>
      <c r="F3542" s="21"/>
      <c r="G3542" s="22"/>
      <c r="H3542" s="23"/>
      <c r="I3542" s="35"/>
      <c r="J3542" s="41"/>
      <c r="K3542" s="10"/>
      <c r="L3542" s="32"/>
      <c r="M3542" s="10"/>
      <c r="N3542" s="33">
        <v>1</v>
      </c>
      <c r="O3542" s="31">
        <f>ROUND(PRODUCT(J3542:N3542),2)</f>
        <v>1</v>
      </c>
      <c r="P3542" s="185"/>
    </row>
    <row r="3543" spans="1:16" ht="30" hidden="1" outlineLevel="1">
      <c r="A3543" s="2">
        <v>8</v>
      </c>
      <c r="B3543" s="2">
        <v>12</v>
      </c>
      <c r="C3543" s="2">
        <v>1</v>
      </c>
      <c r="D3543" s="2" t="e">
        <f>#REF!+1</f>
        <v>#REF!</v>
      </c>
      <c r="E3543" s="20" t="e">
        <f>CONCATENATE(A3543,".",B3543,".",C3543,".",D3543)</f>
        <v>#REF!</v>
      </c>
      <c r="F3543" s="21" t="s">
        <v>4541</v>
      </c>
      <c r="G3543" s="22">
        <v>94499</v>
      </c>
      <c r="H3543" s="23" t="s">
        <v>1519</v>
      </c>
      <c r="I3543" s="24" t="s">
        <v>36</v>
      </c>
      <c r="J3543" s="32"/>
      <c r="K3543" s="10"/>
      <c r="L3543" s="32"/>
      <c r="M3543" s="10"/>
      <c r="N3543" s="33"/>
      <c r="O3543" s="11">
        <f>SUM(O3544)</f>
        <v>2</v>
      </c>
      <c r="P3543" s="185"/>
    </row>
    <row r="3544" spans="1:16" hidden="1" outlineLevel="1">
      <c r="E3544" s="72"/>
      <c r="F3544" s="21"/>
      <c r="G3544" s="34"/>
      <c r="H3544" s="30"/>
      <c r="I3544" s="35"/>
      <c r="J3544" s="41"/>
      <c r="K3544" s="10"/>
      <c r="L3544" s="32"/>
      <c r="M3544" s="10"/>
      <c r="N3544" s="33">
        <v>2</v>
      </c>
      <c r="O3544" s="31">
        <f>ROUND(PRODUCT(J3544:N3544),2)</f>
        <v>2</v>
      </c>
      <c r="P3544" s="185"/>
    </row>
    <row r="3545" spans="1:16" ht="30" hidden="1" outlineLevel="1">
      <c r="A3545" s="2">
        <v>8</v>
      </c>
      <c r="B3545" s="2">
        <v>12</v>
      </c>
      <c r="C3545" s="2">
        <v>1</v>
      </c>
      <c r="D3545" s="2" t="e">
        <f>#REF!+1</f>
        <v>#REF!</v>
      </c>
      <c r="E3545" s="20" t="e">
        <f>CONCATENATE(A3545,".",B3545,".",C3545,".",D3545)</f>
        <v>#REF!</v>
      </c>
      <c r="F3545" s="21" t="s">
        <v>4542</v>
      </c>
      <c r="G3545" s="22">
        <v>94797</v>
      </c>
      <c r="H3545" s="23" t="s">
        <v>1522</v>
      </c>
      <c r="I3545" s="24" t="s">
        <v>36</v>
      </c>
      <c r="J3545" s="32"/>
      <c r="K3545" s="10"/>
      <c r="L3545" s="32"/>
      <c r="M3545" s="10"/>
      <c r="N3545" s="33"/>
      <c r="O3545" s="11">
        <f>SUM(O3546)</f>
        <v>1</v>
      </c>
      <c r="P3545" s="185"/>
    </row>
    <row r="3546" spans="1:16" hidden="1" outlineLevel="1">
      <c r="E3546" s="72"/>
      <c r="F3546" s="21"/>
      <c r="G3546" s="34"/>
      <c r="H3546" s="30"/>
      <c r="I3546" s="35"/>
      <c r="J3546" s="41"/>
      <c r="K3546" s="10"/>
      <c r="L3546" s="32"/>
      <c r="M3546" s="10"/>
      <c r="N3546" s="33">
        <v>1</v>
      </c>
      <c r="O3546" s="31">
        <f>ROUND(PRODUCT(J3546:N3546),2)</f>
        <v>1</v>
      </c>
      <c r="P3546" s="185"/>
    </row>
    <row r="3547" spans="1:16" ht="30" hidden="1" outlineLevel="1">
      <c r="A3547" s="2">
        <v>8</v>
      </c>
      <c r="B3547" s="2">
        <v>12</v>
      </c>
      <c r="C3547" s="2">
        <v>1</v>
      </c>
      <c r="D3547" s="2" t="e">
        <f>D3545+1</f>
        <v>#REF!</v>
      </c>
      <c r="E3547" s="20" t="e">
        <f>CONCATENATE(A3547,".",B3547,".",C3547,".",D3547)</f>
        <v>#REF!</v>
      </c>
      <c r="F3547" s="21" t="s">
        <v>4543</v>
      </c>
      <c r="G3547" s="22">
        <v>94497</v>
      </c>
      <c r="H3547" s="23" t="s">
        <v>1525</v>
      </c>
      <c r="I3547" s="24" t="s">
        <v>36</v>
      </c>
      <c r="J3547" s="32"/>
      <c r="K3547" s="10"/>
      <c r="L3547" s="32"/>
      <c r="M3547" s="10"/>
      <c r="N3547" s="33"/>
      <c r="O3547" s="11">
        <f>SUM(O3548)</f>
        <v>4</v>
      </c>
      <c r="P3547" s="185"/>
    </row>
    <row r="3548" spans="1:16" hidden="1" outlineLevel="1">
      <c r="E3548" s="72"/>
      <c r="F3548" s="21"/>
      <c r="G3548" s="34"/>
      <c r="H3548" s="30"/>
      <c r="I3548" s="35"/>
      <c r="J3548" s="41"/>
      <c r="K3548" s="10"/>
      <c r="L3548" s="32"/>
      <c r="M3548" s="10"/>
      <c r="N3548" s="33">
        <v>4</v>
      </c>
      <c r="O3548" s="31">
        <f>ROUND(PRODUCT(J3548:N3548),2)</f>
        <v>4</v>
      </c>
      <c r="P3548" s="185"/>
    </row>
    <row r="3549" spans="1:16" collapsed="1">
      <c r="A3549" s="2">
        <v>8</v>
      </c>
      <c r="B3549" s="2">
        <v>14</v>
      </c>
      <c r="E3549" s="42" t="str">
        <f>CONCATENATE(A3549,".",B3549)</f>
        <v>8.14</v>
      </c>
      <c r="F3549" s="45" t="s">
        <v>4544</v>
      </c>
      <c r="G3549" s="13"/>
      <c r="H3549" s="14" t="s">
        <v>3371</v>
      </c>
      <c r="I3549" s="15"/>
      <c r="J3549" s="16"/>
      <c r="K3549" s="17"/>
      <c r="L3549" s="16"/>
      <c r="M3549" s="17"/>
      <c r="N3549" s="18"/>
      <c r="O3549" s="19"/>
      <c r="P3549" s="185"/>
    </row>
    <row r="3550" spans="1:16" ht="45" hidden="1" outlineLevel="1">
      <c r="A3550" s="2">
        <v>8</v>
      </c>
      <c r="B3550" s="2">
        <v>14</v>
      </c>
      <c r="C3550" s="2">
        <v>1</v>
      </c>
      <c r="E3550" s="20" t="str">
        <f>CONCATENATE(A3550,".",B3550,".",C3550)</f>
        <v>8.14.1</v>
      </c>
      <c r="F3550" s="21" t="s">
        <v>4545</v>
      </c>
      <c r="G3550" s="65">
        <v>101795</v>
      </c>
      <c r="H3550" s="23" t="s">
        <v>2581</v>
      </c>
      <c r="I3550" s="24" t="s">
        <v>36</v>
      </c>
      <c r="J3550" s="32"/>
      <c r="K3550" s="10"/>
      <c r="L3550" s="32"/>
      <c r="M3550" s="10"/>
      <c r="N3550" s="33"/>
      <c r="O3550" s="11">
        <f>SUM(O3551)</f>
        <v>1</v>
      </c>
      <c r="P3550" s="185"/>
    </row>
    <row r="3551" spans="1:16" hidden="1" outlineLevel="2">
      <c r="E3551" s="59"/>
      <c r="F3551" s="60"/>
      <c r="G3551" s="34"/>
      <c r="H3551" s="30"/>
      <c r="I3551" s="35"/>
      <c r="J3551" s="41"/>
      <c r="K3551" s="10"/>
      <c r="L3551" s="32"/>
      <c r="M3551" s="10"/>
      <c r="N3551" s="33">
        <v>1</v>
      </c>
      <c r="O3551" s="31">
        <f>ROUND(PRODUCT(J3551:N3551),2)</f>
        <v>1</v>
      </c>
      <c r="P3551" s="185"/>
    </row>
    <row r="3552" spans="1:16" hidden="1" outlineLevel="1">
      <c r="A3552" s="2">
        <v>8</v>
      </c>
      <c r="B3552" s="2">
        <v>14</v>
      </c>
      <c r="C3552" s="2">
        <f>C3550+1</f>
        <v>2</v>
      </c>
      <c r="E3552" s="20" t="str">
        <f>CONCATENATE(A3552,".",B3552,".",C3552)</f>
        <v>8.14.2</v>
      </c>
      <c r="F3552" s="21" t="s">
        <v>4546</v>
      </c>
      <c r="G3552" s="65">
        <v>98307</v>
      </c>
      <c r="H3552" s="23" t="s">
        <v>2631</v>
      </c>
      <c r="I3552" s="24" t="s">
        <v>36</v>
      </c>
      <c r="J3552" s="32"/>
      <c r="K3552" s="10"/>
      <c r="L3552" s="32"/>
      <c r="M3552" s="10"/>
      <c r="N3552" s="33"/>
      <c r="O3552" s="11">
        <f>SUM(O3553)</f>
        <v>32</v>
      </c>
      <c r="P3552" s="185"/>
    </row>
    <row r="3553" spans="1:16" hidden="1" outlineLevel="2">
      <c r="E3553" s="59"/>
      <c r="F3553" s="60"/>
      <c r="G3553" s="34"/>
      <c r="H3553" s="30"/>
      <c r="I3553" s="35"/>
      <c r="J3553" s="41"/>
      <c r="K3553" s="10"/>
      <c r="L3553" s="32"/>
      <c r="M3553" s="10"/>
      <c r="N3553" s="33">
        <v>32</v>
      </c>
      <c r="O3553" s="31">
        <f>ROUND(PRODUCT(J3553:N3553),2)</f>
        <v>32</v>
      </c>
      <c r="P3553" s="185"/>
    </row>
    <row r="3554" spans="1:16" hidden="1" outlineLevel="1">
      <c r="A3554" s="2">
        <v>8</v>
      </c>
      <c r="B3554" s="2">
        <v>14</v>
      </c>
      <c r="C3554" s="2">
        <f>C3552+1</f>
        <v>3</v>
      </c>
      <c r="E3554" s="20" t="str">
        <f>CONCATENATE(A3554,".",B3554,".",C3554)</f>
        <v>8.14.3</v>
      </c>
      <c r="F3554" s="21" t="s">
        <v>4547</v>
      </c>
      <c r="G3554" s="65">
        <v>98302</v>
      </c>
      <c r="H3554" s="23" t="s">
        <v>2578</v>
      </c>
      <c r="I3554" s="24" t="s">
        <v>36</v>
      </c>
      <c r="J3554" s="32"/>
      <c r="K3554" s="10"/>
      <c r="L3554" s="32"/>
      <c r="M3554" s="10"/>
      <c r="N3554" s="33"/>
      <c r="O3554" s="11">
        <f>SUM(O3555)</f>
        <v>2</v>
      </c>
      <c r="P3554" s="185"/>
    </row>
    <row r="3555" spans="1:16" hidden="1" outlineLevel="2">
      <c r="E3555" s="59"/>
      <c r="F3555" s="60"/>
      <c r="G3555" s="34"/>
      <c r="H3555" s="30"/>
      <c r="I3555" s="35"/>
      <c r="J3555" s="41"/>
      <c r="K3555" s="10"/>
      <c r="L3555" s="32"/>
      <c r="M3555" s="10"/>
      <c r="N3555" s="33">
        <v>2</v>
      </c>
      <c r="O3555" s="31">
        <f>ROUND(PRODUCT(J3555:N3555),2)</f>
        <v>2</v>
      </c>
      <c r="P3555" s="185"/>
    </row>
    <row r="3556" spans="1:16" hidden="1" outlineLevel="1">
      <c r="A3556" s="2">
        <v>8</v>
      </c>
      <c r="B3556" s="2">
        <v>14</v>
      </c>
      <c r="C3556" s="2">
        <f>C3554+1</f>
        <v>4</v>
      </c>
      <c r="E3556" s="20" t="str">
        <f>CONCATENATE(A3556,".",B3556,".",C3556)</f>
        <v>8.14.4</v>
      </c>
      <c r="F3556" s="21" t="s">
        <v>4548</v>
      </c>
      <c r="G3556" s="65">
        <v>98304</v>
      </c>
      <c r="H3556" s="23" t="s">
        <v>3392</v>
      </c>
      <c r="I3556" s="24" t="s">
        <v>36</v>
      </c>
      <c r="J3556" s="32"/>
      <c r="K3556" s="10"/>
      <c r="L3556" s="32"/>
      <c r="M3556" s="10"/>
      <c r="N3556" s="33"/>
      <c r="O3556" s="11">
        <f>SUM(O3557)</f>
        <v>1</v>
      </c>
      <c r="P3556" s="185"/>
    </row>
    <row r="3557" spans="1:16" hidden="1" outlineLevel="2">
      <c r="E3557" s="59"/>
      <c r="F3557" s="60"/>
      <c r="G3557" s="34"/>
      <c r="H3557" s="30"/>
      <c r="I3557" s="35"/>
      <c r="J3557" s="41"/>
      <c r="K3557" s="10"/>
      <c r="L3557" s="32"/>
      <c r="M3557" s="10"/>
      <c r="N3557" s="33">
        <v>1</v>
      </c>
      <c r="O3557" s="31">
        <f>ROUND(PRODUCT(J3557:N3557),2)</f>
        <v>1</v>
      </c>
      <c r="P3557" s="185"/>
    </row>
    <row r="3558" spans="1:16" ht="30" hidden="1" outlineLevel="1">
      <c r="A3558" s="2">
        <v>8</v>
      </c>
      <c r="B3558" s="2">
        <v>14</v>
      </c>
      <c r="C3558" s="2">
        <f>C3556+1</f>
        <v>5</v>
      </c>
      <c r="E3558" s="20" t="str">
        <f>CONCATENATE(A3558,".",B3558,".",C3558)</f>
        <v>8.14.5</v>
      </c>
      <c r="F3558" s="21" t="s">
        <v>4549</v>
      </c>
      <c r="G3558" s="65">
        <v>91939</v>
      </c>
      <c r="H3558" s="23" t="s">
        <v>2353</v>
      </c>
      <c r="I3558" s="24" t="s">
        <v>36</v>
      </c>
      <c r="J3558" s="32"/>
      <c r="K3558" s="10"/>
      <c r="L3558" s="32"/>
      <c r="M3558" s="10"/>
      <c r="N3558" s="33"/>
      <c r="O3558" s="11">
        <f>SUM(O3559)</f>
        <v>23</v>
      </c>
      <c r="P3558" s="185"/>
    </row>
    <row r="3559" spans="1:16" hidden="1" outlineLevel="2">
      <c r="E3559" s="59"/>
      <c r="F3559" s="60"/>
      <c r="G3559" s="34"/>
      <c r="H3559" s="30"/>
      <c r="I3559" s="35"/>
      <c r="J3559" s="41"/>
      <c r="K3559" s="10"/>
      <c r="L3559" s="32"/>
      <c r="M3559" s="10"/>
      <c r="N3559" s="33">
        <v>23</v>
      </c>
      <c r="O3559" s="31">
        <f>ROUND(PRODUCT(J3559:N3559),2)</f>
        <v>23</v>
      </c>
      <c r="P3559" s="185"/>
    </row>
    <row r="3560" spans="1:16" ht="30" hidden="1" outlineLevel="1">
      <c r="A3560" s="2">
        <v>8</v>
      </c>
      <c r="B3560" s="2">
        <v>14</v>
      </c>
      <c r="C3560" s="2">
        <f>C3558+1</f>
        <v>6</v>
      </c>
      <c r="E3560" s="20" t="str">
        <f>CONCATENATE(A3560,".",B3560,".",C3560)</f>
        <v>8.14.6</v>
      </c>
      <c r="F3560" s="21" t="s">
        <v>4550</v>
      </c>
      <c r="G3560" s="65">
        <v>91942</v>
      </c>
      <c r="H3560" s="23" t="s">
        <v>2608</v>
      </c>
      <c r="I3560" s="24" t="s">
        <v>36</v>
      </c>
      <c r="J3560" s="32"/>
      <c r="K3560" s="10"/>
      <c r="L3560" s="32"/>
      <c r="M3560" s="10"/>
      <c r="N3560" s="33"/>
      <c r="O3560" s="11">
        <f>SUM(O3561)</f>
        <v>6</v>
      </c>
      <c r="P3560" s="185"/>
    </row>
    <row r="3561" spans="1:16" hidden="1" outlineLevel="2">
      <c r="E3561" s="59"/>
      <c r="F3561" s="60"/>
      <c r="G3561" s="34"/>
      <c r="H3561" s="30"/>
      <c r="I3561" s="35"/>
      <c r="J3561" s="41"/>
      <c r="K3561" s="10"/>
      <c r="L3561" s="32"/>
      <c r="M3561" s="10"/>
      <c r="N3561" s="33">
        <v>6</v>
      </c>
      <c r="O3561" s="31">
        <f>ROUND(PRODUCT(J3561:N3561),2)</f>
        <v>6</v>
      </c>
      <c r="P3561" s="185"/>
    </row>
    <row r="3562" spans="1:16" ht="30" hidden="1" outlineLevel="1">
      <c r="A3562" s="2">
        <v>8</v>
      </c>
      <c r="B3562" s="2">
        <v>14</v>
      </c>
      <c r="C3562" s="2">
        <f>C3560+1</f>
        <v>7</v>
      </c>
      <c r="E3562" s="20" t="str">
        <f>CONCATENATE(A3562,".",B3562,".",C3562)</f>
        <v>8.14.7</v>
      </c>
      <c r="F3562" s="21" t="s">
        <v>4551</v>
      </c>
      <c r="G3562" s="65">
        <v>91936</v>
      </c>
      <c r="H3562" s="23" t="s">
        <v>540</v>
      </c>
      <c r="I3562" s="24" t="s">
        <v>36</v>
      </c>
      <c r="J3562" s="32"/>
      <c r="K3562" s="10"/>
      <c r="L3562" s="32"/>
      <c r="M3562" s="10"/>
      <c r="N3562" s="33"/>
      <c r="O3562" s="11">
        <f>SUM(O3563)</f>
        <v>6</v>
      </c>
      <c r="P3562" s="185"/>
    </row>
    <row r="3563" spans="1:16" hidden="1" outlineLevel="2">
      <c r="E3563" s="59"/>
      <c r="F3563" s="60"/>
      <c r="G3563" s="34"/>
      <c r="H3563" s="30"/>
      <c r="I3563" s="35"/>
      <c r="J3563" s="41"/>
      <c r="K3563" s="10"/>
      <c r="L3563" s="32"/>
      <c r="M3563" s="10"/>
      <c r="N3563" s="33">
        <v>6</v>
      </c>
      <c r="O3563" s="31">
        <f>ROUND(PRODUCT(J3563:N3563),2)</f>
        <v>6</v>
      </c>
      <c r="P3563" s="185"/>
    </row>
    <row r="3564" spans="1:16" ht="30" hidden="1" outlineLevel="1">
      <c r="A3564" s="2">
        <v>8</v>
      </c>
      <c r="B3564" s="2">
        <v>14</v>
      </c>
      <c r="C3564" s="2">
        <f>C3562+1</f>
        <v>8</v>
      </c>
      <c r="E3564" s="20" t="str">
        <f>CONCATENATE(A3564,".",B3564,".",C3564)</f>
        <v>8.14.8</v>
      </c>
      <c r="F3564" s="21" t="s">
        <v>4552</v>
      </c>
      <c r="G3564" s="65">
        <v>91876</v>
      </c>
      <c r="H3564" s="23" t="s">
        <v>549</v>
      </c>
      <c r="I3564" s="24" t="s">
        <v>36</v>
      </c>
      <c r="J3564" s="32"/>
      <c r="K3564" s="10"/>
      <c r="L3564" s="32"/>
      <c r="M3564" s="10"/>
      <c r="N3564" s="33"/>
      <c r="O3564" s="11">
        <f>SUM(O3565)</f>
        <v>10</v>
      </c>
      <c r="P3564" s="185"/>
    </row>
    <row r="3565" spans="1:16" hidden="1" outlineLevel="2">
      <c r="E3565" s="59"/>
      <c r="F3565" s="60"/>
      <c r="G3565" s="34"/>
      <c r="H3565" s="30"/>
      <c r="I3565" s="35"/>
      <c r="J3565" s="41"/>
      <c r="K3565" s="10"/>
      <c r="L3565" s="32"/>
      <c r="M3565" s="10"/>
      <c r="N3565" s="33">
        <v>10</v>
      </c>
      <c r="O3565" s="31">
        <f>ROUND(PRODUCT(J3565:N3565),2)</f>
        <v>10</v>
      </c>
      <c r="P3565" s="185"/>
    </row>
    <row r="3566" spans="1:16" ht="30" hidden="1" outlineLevel="1">
      <c r="A3566" s="2">
        <v>8</v>
      </c>
      <c r="B3566" s="2">
        <v>14</v>
      </c>
      <c r="C3566" s="2">
        <f>C3564+1</f>
        <v>9</v>
      </c>
      <c r="E3566" s="20" t="str">
        <f>CONCATENATE(A3566,".",B3566,".",C3566)</f>
        <v>8.14.9</v>
      </c>
      <c r="F3566" s="21" t="s">
        <v>4553</v>
      </c>
      <c r="G3566" s="65">
        <v>93013</v>
      </c>
      <c r="H3566" s="23" t="s">
        <v>3728</v>
      </c>
      <c r="I3566" s="24" t="s">
        <v>36</v>
      </c>
      <c r="J3566" s="32"/>
      <c r="K3566" s="10"/>
      <c r="L3566" s="32"/>
      <c r="M3566" s="10"/>
      <c r="N3566" s="33"/>
      <c r="O3566" s="11">
        <f>SUM(O3567)</f>
        <v>1</v>
      </c>
      <c r="P3566" s="185"/>
    </row>
    <row r="3567" spans="1:16" hidden="1" outlineLevel="2">
      <c r="E3567" s="59"/>
      <c r="F3567" s="60"/>
      <c r="G3567" s="34"/>
      <c r="H3567" s="30"/>
      <c r="I3567" s="35"/>
      <c r="J3567" s="41"/>
      <c r="K3567" s="10"/>
      <c r="L3567" s="32"/>
      <c r="M3567" s="10"/>
      <c r="N3567" s="33">
        <v>1</v>
      </c>
      <c r="O3567" s="31">
        <f>ROUND(PRODUCT(J3567:N3567),2)</f>
        <v>1</v>
      </c>
      <c r="P3567" s="185"/>
    </row>
    <row r="3568" spans="1:16" ht="30" hidden="1" outlineLevel="1">
      <c r="A3568" s="2">
        <v>8</v>
      </c>
      <c r="B3568" s="2">
        <v>14</v>
      </c>
      <c r="C3568" s="2">
        <f>C3566+1</f>
        <v>10</v>
      </c>
      <c r="E3568" s="20" t="str">
        <f>CONCATENATE(A3568,".",B3568,".",C3568)</f>
        <v>8.14.10</v>
      </c>
      <c r="F3568" s="21" t="s">
        <v>4554</v>
      </c>
      <c r="G3568" s="65">
        <v>91864</v>
      </c>
      <c r="H3568" s="23" t="s">
        <v>3374</v>
      </c>
      <c r="I3568" s="24" t="s">
        <v>144</v>
      </c>
      <c r="J3568" s="32"/>
      <c r="K3568" s="10"/>
      <c r="L3568" s="32"/>
      <c r="M3568" s="10"/>
      <c r="N3568" s="33"/>
      <c r="O3568" s="11">
        <f>SUM(O3569)</f>
        <v>108.6</v>
      </c>
      <c r="P3568" s="185"/>
    </row>
    <row r="3569" spans="1:16" hidden="1" outlineLevel="2">
      <c r="E3569" s="59"/>
      <c r="F3569" s="60"/>
      <c r="G3569" s="34"/>
      <c r="H3569" s="30"/>
      <c r="I3569" s="35"/>
      <c r="J3569" s="41"/>
      <c r="K3569" s="10"/>
      <c r="L3569" s="32"/>
      <c r="M3569" s="10"/>
      <c r="N3569" s="33">
        <v>108.6</v>
      </c>
      <c r="O3569" s="31">
        <f>ROUND(PRODUCT(J3569:N3569),2)</f>
        <v>108.6</v>
      </c>
      <c r="P3569" s="185"/>
    </row>
    <row r="3570" spans="1:16" ht="30" hidden="1" outlineLevel="1">
      <c r="A3570" s="2">
        <v>8</v>
      </c>
      <c r="B3570" s="2">
        <v>14</v>
      </c>
      <c r="C3570" s="2">
        <f>C3568+1</f>
        <v>11</v>
      </c>
      <c r="E3570" s="20" t="str">
        <f>CONCATENATE(A3570,".",B3570,".",C3570)</f>
        <v>8.14.11</v>
      </c>
      <c r="F3570" s="21" t="s">
        <v>4555</v>
      </c>
      <c r="G3570" s="65">
        <v>93008</v>
      </c>
      <c r="H3570" s="23" t="s">
        <v>2644</v>
      </c>
      <c r="I3570" s="24" t="s">
        <v>144</v>
      </c>
      <c r="J3570" s="32"/>
      <c r="K3570" s="10"/>
      <c r="L3570" s="32"/>
      <c r="M3570" s="10"/>
      <c r="N3570" s="33"/>
      <c r="O3570" s="11">
        <f>SUM(O3571)</f>
        <v>7.4</v>
      </c>
      <c r="P3570" s="185"/>
    </row>
    <row r="3571" spans="1:16" hidden="1" outlineLevel="2">
      <c r="E3571" s="59"/>
      <c r="F3571" s="60"/>
      <c r="G3571" s="34"/>
      <c r="H3571" s="30"/>
      <c r="I3571" s="35"/>
      <c r="J3571" s="41"/>
      <c r="K3571" s="10"/>
      <c r="L3571" s="32"/>
      <c r="M3571" s="10"/>
      <c r="N3571" s="33">
        <v>7.4</v>
      </c>
      <c r="O3571" s="31">
        <f>ROUND(PRODUCT(J3571:N3571),2)</f>
        <v>7.4</v>
      </c>
      <c r="P3571" s="185"/>
    </row>
    <row r="3572" spans="1:16" hidden="1" outlineLevel="1">
      <c r="A3572" s="2">
        <v>8</v>
      </c>
      <c r="B3572" s="2">
        <v>14</v>
      </c>
      <c r="C3572" s="2">
        <f>C3570+1</f>
        <v>12</v>
      </c>
      <c r="E3572" s="20" t="str">
        <f>CONCATENATE(A3572,".",B3572,".",C3572)</f>
        <v>8.14.12</v>
      </c>
      <c r="F3572" s="21" t="s">
        <v>4556</v>
      </c>
      <c r="G3572" s="22" t="s">
        <v>4012</v>
      </c>
      <c r="H3572" s="23" t="s">
        <v>3473</v>
      </c>
      <c r="I3572" s="24" t="s">
        <v>36</v>
      </c>
      <c r="J3572" s="32"/>
      <c r="K3572" s="10"/>
      <c r="L3572" s="32"/>
      <c r="M3572" s="10"/>
      <c r="N3572" s="33"/>
      <c r="O3572" s="11">
        <f>SUM(O3573)</f>
        <v>3</v>
      </c>
      <c r="P3572" s="185"/>
    </row>
    <row r="3573" spans="1:16" hidden="1" outlineLevel="2">
      <c r="E3573" s="59"/>
      <c r="F3573" s="60"/>
      <c r="G3573" s="34"/>
      <c r="H3573" s="30"/>
      <c r="I3573" s="35"/>
      <c r="J3573" s="41"/>
      <c r="K3573" s="10"/>
      <c r="L3573" s="32"/>
      <c r="M3573" s="10"/>
      <c r="N3573" s="33">
        <v>3</v>
      </c>
      <c r="O3573" s="31">
        <f>ROUND(PRODUCT(J3573:N3573),2)</f>
        <v>3</v>
      </c>
      <c r="P3573" s="185"/>
    </row>
    <row r="3574" spans="1:16" hidden="1" outlineLevel="1">
      <c r="A3574" s="2">
        <v>8</v>
      </c>
      <c r="B3574" s="2">
        <v>14</v>
      </c>
      <c r="C3574" s="2">
        <f>C3572+1</f>
        <v>13</v>
      </c>
      <c r="E3574" s="20" t="str">
        <f>CONCATENATE(A3574,".",B3574,".",C3574)</f>
        <v>8.14.13</v>
      </c>
      <c r="F3574" s="21" t="s">
        <v>4557</v>
      </c>
      <c r="G3574" s="22" t="s">
        <v>4558</v>
      </c>
      <c r="H3574" s="23" t="s">
        <v>3440</v>
      </c>
      <c r="I3574" s="24" t="s">
        <v>36</v>
      </c>
      <c r="J3574" s="32"/>
      <c r="K3574" s="10"/>
      <c r="L3574" s="32"/>
      <c r="M3574" s="10"/>
      <c r="N3574" s="33"/>
      <c r="O3574" s="11">
        <f>SUM(O3575)</f>
        <v>2</v>
      </c>
      <c r="P3574" s="185"/>
    </row>
    <row r="3575" spans="1:16" hidden="1" outlineLevel="2">
      <c r="E3575" s="59"/>
      <c r="F3575" s="60"/>
      <c r="G3575" s="34"/>
      <c r="H3575" s="30"/>
      <c r="I3575" s="35"/>
      <c r="J3575" s="41"/>
      <c r="K3575" s="10"/>
      <c r="L3575" s="32"/>
      <c r="M3575" s="10"/>
      <c r="N3575" s="33">
        <v>2</v>
      </c>
      <c r="O3575" s="31">
        <f>ROUND(PRODUCT(J3575:N3575),2)</f>
        <v>2</v>
      </c>
      <c r="P3575" s="185"/>
    </row>
    <row r="3576" spans="1:16" hidden="1" outlineLevel="1">
      <c r="A3576" s="2">
        <v>8</v>
      </c>
      <c r="B3576" s="2">
        <v>14</v>
      </c>
      <c r="C3576" s="2">
        <f>C3574+1</f>
        <v>14</v>
      </c>
      <c r="E3576" s="20" t="str">
        <f>CONCATENATE(A3576,".",B3576,".",C3576)</f>
        <v>8.14.14</v>
      </c>
      <c r="F3576" s="21" t="s">
        <v>4559</v>
      </c>
      <c r="G3576" s="22" t="s">
        <v>3985</v>
      </c>
      <c r="H3576" s="23" t="s">
        <v>3986</v>
      </c>
      <c r="I3576" s="24" t="s">
        <v>36</v>
      </c>
      <c r="J3576" s="32"/>
      <c r="K3576" s="10"/>
      <c r="L3576" s="32"/>
      <c r="M3576" s="10"/>
      <c r="N3576" s="33"/>
      <c r="O3576" s="11">
        <f>SUM(O3577)</f>
        <v>1</v>
      </c>
      <c r="P3576" s="185"/>
    </row>
    <row r="3577" spans="1:16" hidden="1" outlineLevel="2">
      <c r="E3577" s="59"/>
      <c r="F3577" s="60"/>
      <c r="G3577" s="34"/>
      <c r="H3577" s="30"/>
      <c r="I3577" s="35"/>
      <c r="J3577" s="41"/>
      <c r="K3577" s="10"/>
      <c r="L3577" s="32"/>
      <c r="M3577" s="10"/>
      <c r="N3577" s="33">
        <v>1</v>
      </c>
      <c r="O3577" s="31">
        <f>ROUND(PRODUCT(J3577:N3577),2)</f>
        <v>1</v>
      </c>
      <c r="P3577" s="185"/>
    </row>
    <row r="3578" spans="1:16" hidden="1" outlineLevel="1">
      <c r="A3578" s="2">
        <v>8</v>
      </c>
      <c r="B3578" s="2">
        <v>14</v>
      </c>
      <c r="C3578" s="2">
        <f>C3576+1</f>
        <v>15</v>
      </c>
      <c r="E3578" s="20" t="str">
        <f>CONCATENATE(A3578,".",B3578,".",C3578)</f>
        <v>8.14.15</v>
      </c>
      <c r="F3578" s="21" t="s">
        <v>4560</v>
      </c>
      <c r="G3578" s="22" t="s">
        <v>3419</v>
      </c>
      <c r="H3578" s="23" t="s">
        <v>3420</v>
      </c>
      <c r="I3578" s="24" t="s">
        <v>36</v>
      </c>
      <c r="J3578" s="32"/>
      <c r="K3578" s="10"/>
      <c r="L3578" s="32"/>
      <c r="M3578" s="10"/>
      <c r="N3578" s="33"/>
      <c r="O3578" s="11">
        <f>SUM(O3579)</f>
        <v>2</v>
      </c>
      <c r="P3578" s="185"/>
    </row>
    <row r="3579" spans="1:16" hidden="1" outlineLevel="2">
      <c r="E3579" s="59"/>
      <c r="F3579" s="60"/>
      <c r="G3579" s="34"/>
      <c r="H3579" s="30"/>
      <c r="I3579" s="35"/>
      <c r="J3579" s="41"/>
      <c r="K3579" s="10"/>
      <c r="L3579" s="32"/>
      <c r="M3579" s="10"/>
      <c r="N3579" s="33">
        <v>2</v>
      </c>
      <c r="O3579" s="31">
        <f>ROUND(PRODUCT(J3579:N3579),2)</f>
        <v>2</v>
      </c>
      <c r="P3579" s="185"/>
    </row>
    <row r="3580" spans="1:16" hidden="1" outlineLevel="1">
      <c r="A3580" s="2">
        <v>8</v>
      </c>
      <c r="B3580" s="2">
        <v>14</v>
      </c>
      <c r="C3580" s="2">
        <f>C3578+1</f>
        <v>16</v>
      </c>
      <c r="E3580" s="20" t="str">
        <f>CONCATENATE(A3580,".",B3580,".",C3580)</f>
        <v>8.14.16</v>
      </c>
      <c r="F3580" s="21" t="s">
        <v>4561</v>
      </c>
      <c r="G3580" s="22" t="s">
        <v>3422</v>
      </c>
      <c r="H3580" s="23" t="s">
        <v>3423</v>
      </c>
      <c r="I3580" s="24" t="s">
        <v>36</v>
      </c>
      <c r="J3580" s="32"/>
      <c r="K3580" s="10"/>
      <c r="L3580" s="32"/>
      <c r="M3580" s="10"/>
      <c r="N3580" s="33"/>
      <c r="O3580" s="11">
        <f>SUM(O3581)</f>
        <v>50</v>
      </c>
      <c r="P3580" s="185"/>
    </row>
    <row r="3581" spans="1:16" hidden="1" outlineLevel="2">
      <c r="E3581" s="59"/>
      <c r="F3581" s="60"/>
      <c r="G3581" s="34"/>
      <c r="H3581" s="30"/>
      <c r="I3581" s="35"/>
      <c r="J3581" s="41"/>
      <c r="K3581" s="10"/>
      <c r="L3581" s="32"/>
      <c r="M3581" s="10"/>
      <c r="N3581" s="33">
        <v>50</v>
      </c>
      <c r="O3581" s="31">
        <f>ROUND(PRODUCT(J3581:N3581),2)</f>
        <v>50</v>
      </c>
      <c r="P3581" s="185"/>
    </row>
    <row r="3582" spans="1:16" hidden="1" outlineLevel="1">
      <c r="A3582" s="2">
        <v>8</v>
      </c>
      <c r="B3582" s="2">
        <v>14</v>
      </c>
      <c r="C3582" s="2">
        <f>C3580+1</f>
        <v>17</v>
      </c>
      <c r="E3582" s="20" t="str">
        <f>CONCATENATE(A3582,".",B3582,".",C3582)</f>
        <v>8.14.17</v>
      </c>
      <c r="F3582" s="21" t="s">
        <v>4562</v>
      </c>
      <c r="G3582" s="22" t="s">
        <v>3425</v>
      </c>
      <c r="H3582" s="23" t="s">
        <v>3426</v>
      </c>
      <c r="I3582" s="24" t="s">
        <v>36</v>
      </c>
      <c r="J3582" s="32"/>
      <c r="K3582" s="10"/>
      <c r="L3582" s="32"/>
      <c r="M3582" s="10"/>
      <c r="N3582" s="33"/>
      <c r="O3582" s="11">
        <f>SUM(O3583)</f>
        <v>3</v>
      </c>
      <c r="P3582" s="185"/>
    </row>
    <row r="3583" spans="1:16" hidden="1" outlineLevel="2">
      <c r="E3583" s="59"/>
      <c r="F3583" s="60"/>
      <c r="G3583" s="34"/>
      <c r="H3583" s="30"/>
      <c r="I3583" s="35"/>
      <c r="J3583" s="41"/>
      <c r="K3583" s="10"/>
      <c r="L3583" s="32"/>
      <c r="M3583" s="10"/>
      <c r="N3583" s="33">
        <v>3</v>
      </c>
      <c r="O3583" s="31">
        <f>ROUND(PRODUCT(J3583:N3583),2)</f>
        <v>3</v>
      </c>
      <c r="P3583" s="185"/>
    </row>
    <row r="3584" spans="1:16" hidden="1" outlineLevel="1">
      <c r="A3584" s="2">
        <v>8</v>
      </c>
      <c r="B3584" s="2">
        <v>14</v>
      </c>
      <c r="C3584" s="2">
        <f>C3582+1</f>
        <v>18</v>
      </c>
      <c r="E3584" s="20" t="str">
        <f>CONCATENATE(A3584,".",B3584,".",C3584)</f>
        <v>8.14.18</v>
      </c>
      <c r="F3584" s="21" t="s">
        <v>4563</v>
      </c>
      <c r="G3584" s="22" t="s">
        <v>3433</v>
      </c>
      <c r="H3584" s="23" t="s">
        <v>3434</v>
      </c>
      <c r="I3584" s="24" t="s">
        <v>36</v>
      </c>
      <c r="J3584" s="32"/>
      <c r="K3584" s="10"/>
      <c r="L3584" s="32"/>
      <c r="M3584" s="10"/>
      <c r="N3584" s="33"/>
      <c r="O3584" s="11">
        <f>SUM(O3585)</f>
        <v>1</v>
      </c>
      <c r="P3584" s="185"/>
    </row>
    <row r="3585" spans="1:16" hidden="1" outlineLevel="2">
      <c r="E3585" s="59"/>
      <c r="F3585" s="60"/>
      <c r="G3585" s="34"/>
      <c r="H3585" s="30"/>
      <c r="I3585" s="35"/>
      <c r="J3585" s="41"/>
      <c r="K3585" s="10"/>
      <c r="L3585" s="32"/>
      <c r="M3585" s="10"/>
      <c r="N3585" s="33">
        <v>1</v>
      </c>
      <c r="O3585" s="31">
        <f>ROUND(PRODUCT(J3585:N3585),2)</f>
        <v>1</v>
      </c>
      <c r="P3585" s="185"/>
    </row>
    <row r="3586" spans="1:16" hidden="1" outlineLevel="1">
      <c r="A3586" s="2">
        <v>8</v>
      </c>
      <c r="B3586" s="2">
        <v>14</v>
      </c>
      <c r="C3586" s="2">
        <f>C3584+1</f>
        <v>19</v>
      </c>
      <c r="E3586" s="20" t="str">
        <f>CONCATENATE(A3586,".",B3586,".",C3586)</f>
        <v>8.14.19</v>
      </c>
      <c r="F3586" s="21" t="s">
        <v>4564</v>
      </c>
      <c r="G3586" s="22" t="s">
        <v>3411</v>
      </c>
      <c r="H3586" s="23" t="s">
        <v>3412</v>
      </c>
      <c r="I3586" s="24" t="s">
        <v>36</v>
      </c>
      <c r="J3586" s="32"/>
      <c r="K3586" s="10"/>
      <c r="L3586" s="32"/>
      <c r="M3586" s="10"/>
      <c r="N3586" s="33"/>
      <c r="O3586" s="11">
        <f>SUM(O3587)</f>
        <v>3</v>
      </c>
      <c r="P3586" s="185"/>
    </row>
    <row r="3587" spans="1:16" hidden="1" outlineLevel="2">
      <c r="E3587" s="59"/>
      <c r="F3587" s="60"/>
      <c r="G3587" s="34"/>
      <c r="H3587" s="30"/>
      <c r="I3587" s="35"/>
      <c r="J3587" s="41"/>
      <c r="K3587" s="10"/>
      <c r="L3587" s="32"/>
      <c r="M3587" s="10"/>
      <c r="N3587" s="33">
        <v>3</v>
      </c>
      <c r="O3587" s="31">
        <f>ROUND(PRODUCT(J3587:N3587),2)</f>
        <v>3</v>
      </c>
      <c r="P3587" s="185"/>
    </row>
    <row r="3588" spans="1:16" hidden="1" outlineLevel="1">
      <c r="A3588" s="2">
        <v>8</v>
      </c>
      <c r="B3588" s="2">
        <v>14</v>
      </c>
      <c r="C3588" s="2">
        <f>C3586+1</f>
        <v>20</v>
      </c>
      <c r="E3588" s="20" t="str">
        <f>CONCATENATE(A3588,".",B3588,".",C3588)</f>
        <v>8.14.20</v>
      </c>
      <c r="F3588" s="21" t="s">
        <v>4565</v>
      </c>
      <c r="G3588" s="22" t="s">
        <v>3976</v>
      </c>
      <c r="H3588" s="23" t="s">
        <v>3977</v>
      </c>
      <c r="I3588" s="24" t="s">
        <v>36</v>
      </c>
      <c r="J3588" s="32"/>
      <c r="K3588" s="10"/>
      <c r="L3588" s="32"/>
      <c r="M3588" s="10"/>
      <c r="N3588" s="33"/>
      <c r="O3588" s="11">
        <f>SUM(O3589)</f>
        <v>9</v>
      </c>
      <c r="P3588" s="185"/>
    </row>
    <row r="3589" spans="1:16" hidden="1" outlineLevel="2">
      <c r="E3589" s="59"/>
      <c r="F3589" s="60"/>
      <c r="G3589" s="34"/>
      <c r="H3589" s="30"/>
      <c r="I3589" s="35"/>
      <c r="J3589" s="41"/>
      <c r="K3589" s="10"/>
      <c r="L3589" s="32"/>
      <c r="M3589" s="10"/>
      <c r="N3589" s="33">
        <v>9</v>
      </c>
      <c r="O3589" s="31">
        <f>ROUND(PRODUCT(J3589:N3589),2)</f>
        <v>9</v>
      </c>
      <c r="P3589" s="185"/>
    </row>
    <row r="3590" spans="1:16" hidden="1" outlineLevel="1">
      <c r="A3590" s="2">
        <v>8</v>
      </c>
      <c r="B3590" s="2">
        <v>14</v>
      </c>
      <c r="C3590" s="2">
        <f>C3588+1</f>
        <v>21</v>
      </c>
      <c r="E3590" s="20" t="str">
        <f>CONCATENATE(A3590,".",B3590,".",C3590)</f>
        <v>8.14.21</v>
      </c>
      <c r="F3590" s="21" t="s">
        <v>4566</v>
      </c>
      <c r="G3590" s="22" t="s">
        <v>3979</v>
      </c>
      <c r="H3590" s="23" t="s">
        <v>3476</v>
      </c>
      <c r="I3590" s="24" t="s">
        <v>36</v>
      </c>
      <c r="J3590" s="32"/>
      <c r="K3590" s="10"/>
      <c r="L3590" s="32"/>
      <c r="M3590" s="10"/>
      <c r="N3590" s="33"/>
      <c r="O3590" s="11">
        <f>SUM(O3591)</f>
        <v>3</v>
      </c>
      <c r="P3590" s="185"/>
    </row>
    <row r="3591" spans="1:16" hidden="1" outlineLevel="2">
      <c r="E3591" s="59"/>
      <c r="F3591" s="60"/>
      <c r="G3591" s="34"/>
      <c r="H3591" s="30"/>
      <c r="I3591" s="35"/>
      <c r="J3591" s="41"/>
      <c r="K3591" s="10"/>
      <c r="L3591" s="32"/>
      <c r="M3591" s="10"/>
      <c r="N3591" s="33">
        <v>3</v>
      </c>
      <c r="O3591" s="31">
        <f>ROUND(PRODUCT(J3591:N3591),2)</f>
        <v>3</v>
      </c>
      <c r="P3591" s="185"/>
    </row>
    <row r="3592" spans="1:16" hidden="1" outlineLevel="1">
      <c r="A3592" s="2">
        <v>8</v>
      </c>
      <c r="B3592" s="2">
        <v>14</v>
      </c>
      <c r="C3592" s="2">
        <f>C3590+1</f>
        <v>22</v>
      </c>
      <c r="E3592" s="20" t="str">
        <f>CONCATENATE(A3592,".",B3592,".",C3592)</f>
        <v>8.14.22</v>
      </c>
      <c r="F3592" s="21" t="s">
        <v>4567</v>
      </c>
      <c r="G3592" s="22" t="s">
        <v>3981</v>
      </c>
      <c r="H3592" s="23" t="s">
        <v>3479</v>
      </c>
      <c r="I3592" s="24" t="s">
        <v>36</v>
      </c>
      <c r="J3592" s="32"/>
      <c r="K3592" s="10"/>
      <c r="L3592" s="32"/>
      <c r="M3592" s="10"/>
      <c r="N3592" s="33"/>
      <c r="O3592" s="11">
        <f>SUM(O3593)</f>
        <v>1</v>
      </c>
      <c r="P3592" s="185"/>
    </row>
    <row r="3593" spans="1:16" hidden="1" outlineLevel="2">
      <c r="E3593" s="59"/>
      <c r="F3593" s="60"/>
      <c r="G3593" s="34"/>
      <c r="H3593" s="30"/>
      <c r="I3593" s="35"/>
      <c r="J3593" s="41"/>
      <c r="K3593" s="10"/>
      <c r="L3593" s="32"/>
      <c r="M3593" s="10"/>
      <c r="N3593" s="33">
        <v>1</v>
      </c>
      <c r="O3593" s="31">
        <f>ROUND(PRODUCT(J3593:N3593),2)</f>
        <v>1</v>
      </c>
      <c r="P3593" s="185"/>
    </row>
    <row r="3594" spans="1:16" hidden="1" outlineLevel="1">
      <c r="A3594" s="2">
        <v>8</v>
      </c>
      <c r="B3594" s="2">
        <v>14</v>
      </c>
      <c r="C3594" s="2">
        <f>C3592+1</f>
        <v>23</v>
      </c>
      <c r="E3594" s="20" t="str">
        <f>CONCATENATE(A3594,".",B3594,".",C3594)</f>
        <v>8.14.23</v>
      </c>
      <c r="F3594" s="21" t="s">
        <v>4568</v>
      </c>
      <c r="G3594" s="22" t="s">
        <v>3405</v>
      </c>
      <c r="H3594" s="23" t="s">
        <v>3406</v>
      </c>
      <c r="I3594" s="24" t="s">
        <v>36</v>
      </c>
      <c r="J3594" s="32"/>
      <c r="K3594" s="10"/>
      <c r="L3594" s="32"/>
      <c r="M3594" s="10"/>
      <c r="N3594" s="33"/>
      <c r="O3594" s="11">
        <f>SUM(O3595)</f>
        <v>1</v>
      </c>
      <c r="P3594" s="185"/>
    </row>
    <row r="3595" spans="1:16" hidden="1" outlineLevel="2">
      <c r="E3595" s="59"/>
      <c r="F3595" s="60"/>
      <c r="G3595" s="34"/>
      <c r="H3595" s="30"/>
      <c r="I3595" s="35"/>
      <c r="J3595" s="41"/>
      <c r="K3595" s="10"/>
      <c r="L3595" s="32"/>
      <c r="M3595" s="10"/>
      <c r="N3595" s="33">
        <v>1</v>
      </c>
      <c r="O3595" s="31">
        <f>ROUND(PRODUCT(J3595:N3595),2)</f>
        <v>1</v>
      </c>
      <c r="P3595" s="185"/>
    </row>
    <row r="3596" spans="1:16" hidden="1" outlineLevel="1">
      <c r="A3596" s="2">
        <v>8</v>
      </c>
      <c r="B3596" s="2">
        <v>14</v>
      </c>
      <c r="C3596" s="2">
        <f>C3594+1</f>
        <v>24</v>
      </c>
      <c r="E3596" s="20" t="str">
        <f>CONCATENATE(A3596,".",B3596,".",C3596)</f>
        <v>8.14.24</v>
      </c>
      <c r="F3596" s="21" t="s">
        <v>4569</v>
      </c>
      <c r="G3596" s="22" t="s">
        <v>4570</v>
      </c>
      <c r="H3596" s="23" t="s">
        <v>3443</v>
      </c>
      <c r="I3596" s="24" t="s">
        <v>36</v>
      </c>
      <c r="J3596" s="32"/>
      <c r="K3596" s="10"/>
      <c r="L3596" s="32"/>
      <c r="M3596" s="10"/>
      <c r="N3596" s="33"/>
      <c r="O3596" s="11">
        <f>SUM(O3597)</f>
        <v>2</v>
      </c>
      <c r="P3596" s="185"/>
    </row>
    <row r="3597" spans="1:16" hidden="1" outlineLevel="2">
      <c r="E3597" s="59"/>
      <c r="F3597" s="60"/>
      <c r="G3597" s="34"/>
      <c r="H3597" s="30"/>
      <c r="I3597" s="35"/>
      <c r="J3597" s="41"/>
      <c r="K3597" s="10"/>
      <c r="L3597" s="32"/>
      <c r="M3597" s="10"/>
      <c r="N3597" s="33">
        <v>2</v>
      </c>
      <c r="O3597" s="31">
        <f>ROUND(PRODUCT(J3597:N3597),2)</f>
        <v>2</v>
      </c>
      <c r="P3597" s="185"/>
    </row>
    <row r="3598" spans="1:16" hidden="1" outlineLevel="1">
      <c r="A3598" s="2">
        <v>8</v>
      </c>
      <c r="B3598" s="2">
        <v>14</v>
      </c>
      <c r="C3598" s="2">
        <f>C3596+1</f>
        <v>25</v>
      </c>
      <c r="E3598" s="20" t="str">
        <f>CONCATENATE(A3598,".",B3598,".",C3598)</f>
        <v>8.14.25</v>
      </c>
      <c r="F3598" s="21" t="s">
        <v>4571</v>
      </c>
      <c r="G3598" s="22" t="s">
        <v>3999</v>
      </c>
      <c r="H3598" s="23" t="s">
        <v>4000</v>
      </c>
      <c r="I3598" s="24" t="s">
        <v>144</v>
      </c>
      <c r="J3598" s="32"/>
      <c r="K3598" s="10"/>
      <c r="L3598" s="32"/>
      <c r="M3598" s="10"/>
      <c r="N3598" s="33"/>
      <c r="O3598" s="11">
        <f>SUM(O3599)</f>
        <v>1081</v>
      </c>
      <c r="P3598" s="185"/>
    </row>
    <row r="3599" spans="1:16" hidden="1" outlineLevel="2">
      <c r="E3599" s="59"/>
      <c r="F3599" s="60"/>
      <c r="G3599" s="34"/>
      <c r="H3599" s="30"/>
      <c r="I3599" s="35"/>
      <c r="J3599" s="41"/>
      <c r="K3599" s="10"/>
      <c r="L3599" s="32"/>
      <c r="M3599" s="10"/>
      <c r="N3599" s="33">
        <v>1081</v>
      </c>
      <c r="O3599" s="31">
        <f>ROUND(PRODUCT(J3599:N3599),2)</f>
        <v>1081</v>
      </c>
      <c r="P3599" s="185"/>
    </row>
    <row r="3600" spans="1:16" hidden="1" outlineLevel="1">
      <c r="A3600" s="2">
        <v>8</v>
      </c>
      <c r="B3600" s="2">
        <v>14</v>
      </c>
      <c r="C3600" s="2">
        <f>C3598+1</f>
        <v>26</v>
      </c>
      <c r="E3600" s="20" t="str">
        <f>CONCATENATE(A3600,".",B3600,".",C3600)</f>
        <v>8.14.26</v>
      </c>
      <c r="F3600" s="21" t="s">
        <v>4572</v>
      </c>
      <c r="G3600" s="22" t="s">
        <v>4002</v>
      </c>
      <c r="H3600" s="23" t="s">
        <v>3446</v>
      </c>
      <c r="I3600" s="24" t="s">
        <v>144</v>
      </c>
      <c r="J3600" s="32"/>
      <c r="K3600" s="10"/>
      <c r="L3600" s="32"/>
      <c r="M3600" s="10"/>
      <c r="N3600" s="33"/>
      <c r="O3600" s="11">
        <f>SUM(O3601)</f>
        <v>6</v>
      </c>
      <c r="P3600" s="185"/>
    </row>
    <row r="3601" spans="1:16" hidden="1" outlineLevel="2">
      <c r="E3601" s="59"/>
      <c r="F3601" s="60"/>
      <c r="G3601" s="34"/>
      <c r="H3601" s="30"/>
      <c r="I3601" s="35"/>
      <c r="J3601" s="41"/>
      <c r="K3601" s="10"/>
      <c r="L3601" s="32"/>
      <c r="M3601" s="10"/>
      <c r="N3601" s="33">
        <v>6</v>
      </c>
      <c r="O3601" s="31">
        <f>ROUND(PRODUCT(J3601:N3601),2)</f>
        <v>6</v>
      </c>
      <c r="P3601" s="185"/>
    </row>
    <row r="3602" spans="1:16" hidden="1" outlineLevel="1">
      <c r="A3602" s="2">
        <v>8</v>
      </c>
      <c r="B3602" s="2">
        <v>14</v>
      </c>
      <c r="C3602" s="2">
        <f>C3600+1</f>
        <v>27</v>
      </c>
      <c r="E3602" s="20" t="str">
        <f>CONCATENATE(A3602,".",B3602,".",C3602)</f>
        <v>8.14.27</v>
      </c>
      <c r="F3602" s="21" t="s">
        <v>4573</v>
      </c>
      <c r="G3602" s="22" t="s">
        <v>4005</v>
      </c>
      <c r="H3602" s="23" t="s">
        <v>4006</v>
      </c>
      <c r="I3602" s="24" t="s">
        <v>36</v>
      </c>
      <c r="J3602" s="32"/>
      <c r="K3602" s="10"/>
      <c r="L3602" s="32"/>
      <c r="M3602" s="10"/>
      <c r="N3602" s="33"/>
      <c r="O3602" s="11">
        <f>SUM(O3603)</f>
        <v>14</v>
      </c>
      <c r="P3602" s="185"/>
    </row>
    <row r="3603" spans="1:16" hidden="1" outlineLevel="2">
      <c r="E3603" s="59"/>
      <c r="F3603" s="60"/>
      <c r="G3603" s="34"/>
      <c r="H3603" s="30"/>
      <c r="I3603" s="35"/>
      <c r="J3603" s="41"/>
      <c r="K3603" s="10"/>
      <c r="L3603" s="32"/>
      <c r="M3603" s="10"/>
      <c r="N3603" s="33">
        <v>14</v>
      </c>
      <c r="O3603" s="31">
        <f>ROUND(PRODUCT(J3603:N3603),2)</f>
        <v>14</v>
      </c>
      <c r="P3603" s="185"/>
    </row>
    <row r="3604" spans="1:16" hidden="1" outlineLevel="1">
      <c r="A3604" s="2">
        <v>8</v>
      </c>
      <c r="B3604" s="2">
        <v>14</v>
      </c>
      <c r="C3604" s="2">
        <f>C3602+1</f>
        <v>28</v>
      </c>
      <c r="E3604" s="20" t="str">
        <f>CONCATENATE(A3604,".",B3604,".",C3604)</f>
        <v>8.14.28</v>
      </c>
      <c r="F3604" s="21" t="s">
        <v>4574</v>
      </c>
      <c r="G3604" s="22" t="s">
        <v>3826</v>
      </c>
      <c r="H3604" s="23" t="s">
        <v>3827</v>
      </c>
      <c r="I3604" s="24" t="s">
        <v>36</v>
      </c>
      <c r="J3604" s="32"/>
      <c r="K3604" s="10"/>
      <c r="L3604" s="32"/>
      <c r="M3604" s="10"/>
      <c r="N3604" s="33"/>
      <c r="O3604" s="11">
        <f>SUM(O3605)</f>
        <v>9</v>
      </c>
      <c r="P3604" s="185"/>
    </row>
    <row r="3605" spans="1:16" hidden="1" outlineLevel="2">
      <c r="E3605" s="59"/>
      <c r="F3605" s="60"/>
      <c r="G3605" s="34"/>
      <c r="H3605" s="30"/>
      <c r="I3605" s="35"/>
      <c r="J3605" s="41"/>
      <c r="K3605" s="10"/>
      <c r="L3605" s="32"/>
      <c r="M3605" s="10"/>
      <c r="N3605" s="33">
        <v>9</v>
      </c>
      <c r="O3605" s="31">
        <f>ROUND(PRODUCT(J3605:N3605),2)</f>
        <v>9</v>
      </c>
      <c r="P3605" s="185"/>
    </row>
    <row r="3606" spans="1:16" hidden="1" outlineLevel="1">
      <c r="A3606" s="2">
        <v>8</v>
      </c>
      <c r="B3606" s="2">
        <v>14</v>
      </c>
      <c r="C3606" s="2">
        <f>C3604+1</f>
        <v>29</v>
      </c>
      <c r="E3606" s="20" t="str">
        <f>CONCATENATE(A3606,".",B3606,".",C3606)</f>
        <v>8.14.29</v>
      </c>
      <c r="F3606" s="21" t="s">
        <v>4575</v>
      </c>
      <c r="G3606" s="22" t="s">
        <v>4576</v>
      </c>
      <c r="H3606" s="23" t="s">
        <v>3458</v>
      </c>
      <c r="I3606" s="24" t="s">
        <v>36</v>
      </c>
      <c r="J3606" s="32"/>
      <c r="K3606" s="10"/>
      <c r="L3606" s="32"/>
      <c r="M3606" s="10"/>
      <c r="N3606" s="33"/>
      <c r="O3606" s="11">
        <f>SUM(O3607)</f>
        <v>3</v>
      </c>
      <c r="P3606" s="185"/>
    </row>
    <row r="3607" spans="1:16" hidden="1" outlineLevel="2">
      <c r="E3607" s="59"/>
      <c r="F3607" s="60"/>
      <c r="G3607" s="34"/>
      <c r="H3607" s="30"/>
      <c r="I3607" s="35"/>
      <c r="J3607" s="41"/>
      <c r="K3607" s="10"/>
      <c r="L3607" s="32"/>
      <c r="M3607" s="10"/>
      <c r="N3607" s="33">
        <v>3</v>
      </c>
      <c r="O3607" s="31">
        <f>ROUND(PRODUCT(J3607:N3607),2)</f>
        <v>3</v>
      </c>
      <c r="P3607" s="185"/>
    </row>
    <row r="3608" spans="1:16" hidden="1" outlineLevel="1">
      <c r="A3608" s="2">
        <v>8</v>
      </c>
      <c r="B3608" s="2">
        <v>14</v>
      </c>
      <c r="C3608" s="2">
        <f>C3606+1</f>
        <v>30</v>
      </c>
      <c r="E3608" s="20" t="str">
        <f>CONCATENATE(A3608,".",B3608,".",C3608)</f>
        <v>8.14.30</v>
      </c>
      <c r="F3608" s="21" t="s">
        <v>4577</v>
      </c>
      <c r="G3608" s="22" t="s">
        <v>4502</v>
      </c>
      <c r="H3608" s="23" t="s">
        <v>3464</v>
      </c>
      <c r="I3608" s="24" t="s">
        <v>144</v>
      </c>
      <c r="J3608" s="32"/>
      <c r="K3608" s="10"/>
      <c r="L3608" s="32"/>
      <c r="M3608" s="10"/>
      <c r="N3608" s="33"/>
      <c r="O3608" s="11">
        <f>SUM(O3609)</f>
        <v>3.3</v>
      </c>
      <c r="P3608" s="185"/>
    </row>
    <row r="3609" spans="1:16" hidden="1" outlineLevel="2">
      <c r="E3609" s="59"/>
      <c r="F3609" s="60"/>
      <c r="G3609" s="34"/>
      <c r="H3609" s="30"/>
      <c r="I3609" s="35"/>
      <c r="J3609" s="41"/>
      <c r="K3609" s="10"/>
      <c r="L3609" s="32"/>
      <c r="M3609" s="10"/>
      <c r="N3609" s="33">
        <v>3.3</v>
      </c>
      <c r="O3609" s="31">
        <f>ROUND(PRODUCT(J3609:N3609),2)</f>
        <v>3.3</v>
      </c>
      <c r="P3609" s="185"/>
    </row>
    <row r="3610" spans="1:16" hidden="1" outlineLevel="1">
      <c r="A3610" s="2">
        <v>8</v>
      </c>
      <c r="B3610" s="2">
        <v>14</v>
      </c>
      <c r="C3610" s="2">
        <f>C3608+1</f>
        <v>31</v>
      </c>
      <c r="E3610" s="20" t="str">
        <f>CONCATENATE(A3610,".",B3610,".",C3610)</f>
        <v>8.14.31</v>
      </c>
      <c r="F3610" s="21" t="s">
        <v>4578</v>
      </c>
      <c r="G3610" s="22" t="s">
        <v>4379</v>
      </c>
      <c r="H3610" s="23" t="s">
        <v>3467</v>
      </c>
      <c r="I3610" s="24" t="s">
        <v>36</v>
      </c>
      <c r="J3610" s="32"/>
      <c r="K3610" s="10"/>
      <c r="L3610" s="32"/>
      <c r="M3610" s="10"/>
      <c r="N3610" s="33"/>
      <c r="O3610" s="11">
        <f>SUM(O3611)</f>
        <v>1</v>
      </c>
      <c r="P3610" s="185"/>
    </row>
    <row r="3611" spans="1:16" hidden="1" outlineLevel="2">
      <c r="E3611" s="59"/>
      <c r="F3611" s="60"/>
      <c r="G3611" s="34"/>
      <c r="H3611" s="30"/>
      <c r="I3611" s="35"/>
      <c r="J3611" s="41"/>
      <c r="K3611" s="10"/>
      <c r="L3611" s="32"/>
      <c r="M3611" s="10"/>
      <c r="N3611" s="33">
        <v>1</v>
      </c>
      <c r="O3611" s="31">
        <f>ROUND(PRODUCT(J3611:N3611),2)</f>
        <v>1</v>
      </c>
      <c r="P3611" s="185"/>
    </row>
    <row r="3612" spans="1:16" hidden="1" outlineLevel="1">
      <c r="A3612" s="2">
        <v>8</v>
      </c>
      <c r="B3612" s="2">
        <v>14</v>
      </c>
      <c r="C3612" s="2">
        <f>C3610+1</f>
        <v>32</v>
      </c>
      <c r="E3612" s="20" t="str">
        <f>CONCATENATE(A3612,".",B3612,".",C3612)</f>
        <v>8.14.32</v>
      </c>
      <c r="F3612" s="21" t="s">
        <v>4579</v>
      </c>
      <c r="G3612" s="22" t="s">
        <v>4381</v>
      </c>
      <c r="H3612" s="23" t="s">
        <v>4382</v>
      </c>
      <c r="I3612" s="24" t="s">
        <v>36</v>
      </c>
      <c r="J3612" s="32"/>
      <c r="K3612" s="10"/>
      <c r="L3612" s="32"/>
      <c r="M3612" s="10"/>
      <c r="N3612" s="33"/>
      <c r="O3612" s="11">
        <f>SUM(O3613)</f>
        <v>2</v>
      </c>
      <c r="P3612" s="185"/>
    </row>
    <row r="3613" spans="1:16" hidden="1" outlineLevel="2">
      <c r="E3613" s="59"/>
      <c r="F3613" s="60"/>
      <c r="G3613" s="34"/>
      <c r="H3613" s="30"/>
      <c r="I3613" s="35"/>
      <c r="J3613" s="41"/>
      <c r="K3613" s="10"/>
      <c r="L3613" s="32"/>
      <c r="M3613" s="10"/>
      <c r="N3613" s="33">
        <v>2</v>
      </c>
      <c r="O3613" s="31">
        <f>ROUND(PRODUCT(J3613:N3613),2)</f>
        <v>2</v>
      </c>
      <c r="P3613" s="185"/>
    </row>
    <row r="3614" spans="1:16" hidden="1" outlineLevel="1">
      <c r="A3614" s="2">
        <v>8</v>
      </c>
      <c r="B3614" s="2">
        <v>14</v>
      </c>
      <c r="C3614" s="2">
        <f>C3612+1</f>
        <v>33</v>
      </c>
      <c r="E3614" s="20" t="str">
        <f>CONCATENATE(A3614,".",B3614,".",C3614)</f>
        <v>8.14.33</v>
      </c>
      <c r="F3614" s="21" t="s">
        <v>4580</v>
      </c>
      <c r="G3614" s="22" t="s">
        <v>4387</v>
      </c>
      <c r="H3614" s="23" t="s">
        <v>3470</v>
      </c>
      <c r="I3614" s="24" t="s">
        <v>36</v>
      </c>
      <c r="J3614" s="32"/>
      <c r="K3614" s="10"/>
      <c r="L3614" s="32"/>
      <c r="M3614" s="10"/>
      <c r="N3614" s="33"/>
      <c r="O3614" s="11">
        <f>SUM(O3615)</f>
        <v>127</v>
      </c>
      <c r="P3614" s="185"/>
    </row>
    <row r="3615" spans="1:16" hidden="1" outlineLevel="2">
      <c r="E3615" s="59"/>
      <c r="F3615" s="60"/>
      <c r="G3615" s="34"/>
      <c r="H3615" s="30"/>
      <c r="I3615" s="35"/>
      <c r="J3615" s="41"/>
      <c r="K3615" s="10"/>
      <c r="L3615" s="32"/>
      <c r="M3615" s="10"/>
      <c r="N3615" s="33">
        <f>5+122</f>
        <v>127</v>
      </c>
      <c r="O3615" s="31">
        <f>ROUND(PRODUCT(J3615:N3615),2)</f>
        <v>127</v>
      </c>
      <c r="P3615" s="185"/>
    </row>
    <row r="3616" spans="1:16" hidden="1" outlineLevel="1">
      <c r="A3616" s="2">
        <v>8</v>
      </c>
      <c r="B3616" s="2">
        <v>14</v>
      </c>
      <c r="C3616" s="2">
        <f>C3614+1</f>
        <v>34</v>
      </c>
      <c r="E3616" s="20" t="str">
        <f>CONCATENATE(A3616,".",B3616,".",C3616)</f>
        <v>8.14.34</v>
      </c>
      <c r="F3616" s="21" t="s">
        <v>4581</v>
      </c>
      <c r="G3616" s="22" t="s">
        <v>3402</v>
      </c>
      <c r="H3616" s="23" t="s">
        <v>3403</v>
      </c>
      <c r="I3616" s="24" t="s">
        <v>36</v>
      </c>
      <c r="J3616" s="32"/>
      <c r="K3616" s="10"/>
      <c r="L3616" s="32"/>
      <c r="M3616" s="10"/>
      <c r="N3616" s="33"/>
      <c r="O3616" s="11">
        <f>SUM(O3617)</f>
        <v>126</v>
      </c>
      <c r="P3616" s="185"/>
    </row>
    <row r="3617" spans="1:16" hidden="1" outlineLevel="2">
      <c r="E3617" s="59"/>
      <c r="F3617" s="60"/>
      <c r="G3617" s="34"/>
      <c r="H3617" s="30"/>
      <c r="I3617" s="35"/>
      <c r="J3617" s="41"/>
      <c r="K3617" s="10"/>
      <c r="L3617" s="32"/>
      <c r="M3617" s="10"/>
      <c r="N3617" s="33">
        <f>100+26</f>
        <v>126</v>
      </c>
      <c r="O3617" s="31">
        <f>ROUND(PRODUCT(J3617:N3617),2)</f>
        <v>126</v>
      </c>
      <c r="P3617" s="185"/>
    </row>
    <row r="3618" spans="1:16" hidden="1" outlineLevel="1">
      <c r="A3618" s="2">
        <v>8</v>
      </c>
      <c r="B3618" s="2">
        <v>14</v>
      </c>
      <c r="C3618" s="2">
        <f>C3616+1</f>
        <v>35</v>
      </c>
      <c r="E3618" s="20" t="str">
        <f>CONCATENATE(A3618,".",B3618,".",C3618)</f>
        <v>8.14.35</v>
      </c>
      <c r="F3618" s="21" t="s">
        <v>4582</v>
      </c>
      <c r="G3618" s="22" t="s">
        <v>4583</v>
      </c>
      <c r="H3618" s="23" t="s">
        <v>3488</v>
      </c>
      <c r="I3618" s="24" t="s">
        <v>36</v>
      </c>
      <c r="J3618" s="32"/>
      <c r="K3618" s="10"/>
      <c r="L3618" s="32"/>
      <c r="M3618" s="10"/>
      <c r="N3618" s="33"/>
      <c r="O3618" s="11">
        <f>SUM(O3619)</f>
        <v>1</v>
      </c>
      <c r="P3618" s="185"/>
    </row>
    <row r="3619" spans="1:16" hidden="1" outlineLevel="2">
      <c r="E3619" s="59"/>
      <c r="F3619" s="60"/>
      <c r="G3619" s="34"/>
      <c r="H3619" s="30"/>
      <c r="I3619" s="35"/>
      <c r="J3619" s="41"/>
      <c r="K3619" s="10"/>
      <c r="L3619" s="32"/>
      <c r="M3619" s="10"/>
      <c r="N3619" s="33">
        <v>1</v>
      </c>
      <c r="O3619" s="31">
        <f>ROUND(PRODUCT(J3619:N3619),2)</f>
        <v>1</v>
      </c>
      <c r="P3619" s="185"/>
    </row>
    <row r="3620" spans="1:16" hidden="1" outlineLevel="1">
      <c r="A3620" s="2">
        <v>8</v>
      </c>
      <c r="B3620" s="2">
        <v>14</v>
      </c>
      <c r="C3620" s="2">
        <f>C3618+1</f>
        <v>36</v>
      </c>
      <c r="E3620" s="20" t="str">
        <f>CONCATENATE(A3620,".",B3620,".",C3620)</f>
        <v>8.14.36</v>
      </c>
      <c r="F3620" s="21" t="s">
        <v>4584</v>
      </c>
      <c r="G3620" s="22" t="s">
        <v>4010</v>
      </c>
      <c r="H3620" s="23" t="s">
        <v>3494</v>
      </c>
      <c r="I3620" s="24" t="s">
        <v>36</v>
      </c>
      <c r="J3620" s="32"/>
      <c r="K3620" s="10"/>
      <c r="L3620" s="32"/>
      <c r="M3620" s="10"/>
      <c r="N3620" s="33"/>
      <c r="O3620" s="11">
        <f>SUM(O3621)</f>
        <v>1</v>
      </c>
      <c r="P3620" s="185"/>
    </row>
    <row r="3621" spans="1:16" hidden="1" outlineLevel="2">
      <c r="E3621" s="59"/>
      <c r="F3621" s="60"/>
      <c r="G3621" s="34"/>
      <c r="H3621" s="30"/>
      <c r="I3621" s="35"/>
      <c r="J3621" s="41"/>
      <c r="K3621" s="10"/>
      <c r="L3621" s="32"/>
      <c r="M3621" s="10"/>
      <c r="N3621" s="33">
        <v>1</v>
      </c>
      <c r="O3621" s="31">
        <f>ROUND(PRODUCT(J3621:N3621),2)</f>
        <v>1</v>
      </c>
      <c r="P3621" s="185"/>
    </row>
    <row r="3622" spans="1:16" hidden="1" outlineLevel="1">
      <c r="A3622" s="2">
        <v>8</v>
      </c>
      <c r="B3622" s="2">
        <v>14</v>
      </c>
      <c r="C3622" s="2">
        <f>C3620+1</f>
        <v>37</v>
      </c>
      <c r="E3622" s="20" t="str">
        <f>CONCATENATE(A3622,".",B3622,".",C3622)</f>
        <v>8.14.37</v>
      </c>
      <c r="F3622" s="21" t="s">
        <v>4585</v>
      </c>
      <c r="G3622" s="22" t="s">
        <v>3499</v>
      </c>
      <c r="H3622" s="23" t="s">
        <v>3420</v>
      </c>
      <c r="I3622" s="24" t="s">
        <v>36</v>
      </c>
      <c r="J3622" s="32"/>
      <c r="K3622" s="10"/>
      <c r="L3622" s="32"/>
      <c r="M3622" s="10"/>
      <c r="N3622" s="33"/>
      <c r="O3622" s="11">
        <f>SUM(O3623)</f>
        <v>1</v>
      </c>
      <c r="P3622" s="185"/>
    </row>
    <row r="3623" spans="1:16" hidden="1" outlineLevel="2">
      <c r="E3623" s="59"/>
      <c r="F3623" s="60"/>
      <c r="G3623" s="34"/>
      <c r="H3623" s="30"/>
      <c r="I3623" s="35"/>
      <c r="J3623" s="41"/>
      <c r="K3623" s="10"/>
      <c r="L3623" s="32"/>
      <c r="M3623" s="10"/>
      <c r="N3623" s="33">
        <v>1</v>
      </c>
      <c r="O3623" s="31">
        <f>ROUND(PRODUCT(J3623:N3623),2)</f>
        <v>1</v>
      </c>
      <c r="P3623" s="185"/>
    </row>
    <row r="3624" spans="1:16" hidden="1" outlineLevel="1">
      <c r="A3624" s="2">
        <v>8</v>
      </c>
      <c r="B3624" s="2">
        <v>14</v>
      </c>
      <c r="C3624" s="2">
        <f>C3622+1</f>
        <v>38</v>
      </c>
      <c r="E3624" s="20" t="str">
        <f>CONCATENATE(A3624,".",B3624,".",C3624)</f>
        <v>8.14.38</v>
      </c>
      <c r="F3624" s="21" t="s">
        <v>4586</v>
      </c>
      <c r="G3624" s="22" t="s">
        <v>4587</v>
      </c>
      <c r="H3624" s="23" t="s">
        <v>3437</v>
      </c>
      <c r="I3624" s="24" t="s">
        <v>36</v>
      </c>
      <c r="J3624" s="32"/>
      <c r="K3624" s="10"/>
      <c r="L3624" s="32"/>
      <c r="M3624" s="10"/>
      <c r="N3624" s="33"/>
      <c r="O3624" s="11">
        <f>SUM(O3625)</f>
        <v>1</v>
      </c>
      <c r="P3624" s="185"/>
    </row>
    <row r="3625" spans="1:16" hidden="1" outlineLevel="2">
      <c r="E3625" s="59"/>
      <c r="F3625" s="60"/>
      <c r="G3625" s="34"/>
      <c r="H3625" s="30"/>
      <c r="I3625" s="35"/>
      <c r="J3625" s="41"/>
      <c r="K3625" s="10"/>
      <c r="L3625" s="32"/>
      <c r="M3625" s="10"/>
      <c r="N3625" s="33">
        <v>1</v>
      </c>
      <c r="O3625" s="31">
        <f>ROUND(PRODUCT(J3625:N3625),2)</f>
        <v>1</v>
      </c>
      <c r="P3625" s="185"/>
    </row>
    <row r="3626" spans="1:16" hidden="1" outlineLevel="1">
      <c r="A3626" s="2">
        <v>8</v>
      </c>
      <c r="B3626" s="2">
        <v>14</v>
      </c>
      <c r="C3626" s="2">
        <f>C3624+1</f>
        <v>39</v>
      </c>
      <c r="E3626" s="20" t="str">
        <f>CONCATENATE(A3626,".",B3626,".",C3626)</f>
        <v>8.14.39</v>
      </c>
      <c r="F3626" s="21" t="s">
        <v>4588</v>
      </c>
      <c r="G3626" s="22" t="s">
        <v>4406</v>
      </c>
      <c r="H3626" s="23" t="s">
        <v>4589</v>
      </c>
      <c r="I3626" s="24" t="s">
        <v>36</v>
      </c>
      <c r="J3626" s="32"/>
      <c r="K3626" s="10"/>
      <c r="L3626" s="32"/>
      <c r="M3626" s="10"/>
      <c r="N3626" s="33"/>
      <c r="O3626" s="11">
        <f>SUM(O3627)</f>
        <v>6</v>
      </c>
      <c r="P3626" s="185"/>
    </row>
    <row r="3627" spans="1:16" hidden="1" outlineLevel="2">
      <c r="E3627" s="59"/>
      <c r="F3627" s="60"/>
      <c r="G3627" s="34"/>
      <c r="H3627" s="30"/>
      <c r="I3627" s="35"/>
      <c r="J3627" s="41"/>
      <c r="K3627" s="10"/>
      <c r="L3627" s="32"/>
      <c r="M3627" s="10"/>
      <c r="N3627" s="33">
        <v>6</v>
      </c>
      <c r="O3627" s="31">
        <f>ROUND(PRODUCT(J3627:N3627),2)</f>
        <v>6</v>
      </c>
      <c r="P3627" s="185"/>
    </row>
    <row r="3628" spans="1:16" hidden="1" outlineLevel="1">
      <c r="A3628" s="2">
        <v>8</v>
      </c>
      <c r="B3628" s="2">
        <v>14</v>
      </c>
      <c r="C3628" s="2">
        <f>C3626+1</f>
        <v>40</v>
      </c>
      <c r="E3628" s="20" t="str">
        <f>CONCATENATE(A3628,".",B3628,".",C3628)</f>
        <v>8.14.40</v>
      </c>
      <c r="F3628" s="21" t="s">
        <v>4590</v>
      </c>
      <c r="G3628" s="22" t="s">
        <v>3496</v>
      </c>
      <c r="H3628" s="23" t="s">
        <v>4369</v>
      </c>
      <c r="I3628" s="24" t="s">
        <v>36</v>
      </c>
      <c r="J3628" s="32"/>
      <c r="K3628" s="10"/>
      <c r="L3628" s="32"/>
      <c r="M3628" s="10"/>
      <c r="N3628" s="33"/>
      <c r="O3628" s="11">
        <f>SUM(O3629)</f>
        <v>28</v>
      </c>
      <c r="P3628" s="185"/>
    </row>
    <row r="3629" spans="1:16" hidden="1" outlineLevel="2">
      <c r="E3629" s="59"/>
      <c r="F3629" s="60"/>
      <c r="G3629" s="34"/>
      <c r="H3629" s="30"/>
      <c r="I3629" s="35"/>
      <c r="J3629" s="41"/>
      <c r="K3629" s="10"/>
      <c r="L3629" s="32"/>
      <c r="M3629" s="10"/>
      <c r="N3629" s="33">
        <v>28</v>
      </c>
      <c r="O3629" s="31">
        <f>ROUND(PRODUCT(J3629:N3629),2)</f>
        <v>28</v>
      </c>
      <c r="P3629" s="185"/>
    </row>
    <row r="3630" spans="1:16" hidden="1" outlineLevel="1">
      <c r="A3630" s="2">
        <v>8</v>
      </c>
      <c r="B3630" s="2">
        <v>14</v>
      </c>
      <c r="C3630" s="2">
        <f>C3628+1</f>
        <v>41</v>
      </c>
      <c r="E3630" s="20" t="str">
        <f>CONCATENATE(A3630,".",B3630,".",C3630)</f>
        <v>8.14.41</v>
      </c>
      <c r="F3630" s="21" t="s">
        <v>4591</v>
      </c>
      <c r="G3630" s="22" t="s">
        <v>3508</v>
      </c>
      <c r="H3630" s="23" t="s">
        <v>3509</v>
      </c>
      <c r="I3630" s="24" t="s">
        <v>36</v>
      </c>
      <c r="J3630" s="32"/>
      <c r="K3630" s="10"/>
      <c r="L3630" s="32"/>
      <c r="M3630" s="10"/>
      <c r="N3630" s="33"/>
      <c r="O3630" s="11">
        <f>SUM(O3631)</f>
        <v>1</v>
      </c>
      <c r="P3630" s="185"/>
    </row>
    <row r="3631" spans="1:16" hidden="1" outlineLevel="2">
      <c r="E3631" s="59"/>
      <c r="F3631" s="60"/>
      <c r="G3631" s="34"/>
      <c r="H3631" s="30"/>
      <c r="I3631" s="35"/>
      <c r="J3631" s="41"/>
      <c r="K3631" s="10"/>
      <c r="L3631" s="32"/>
      <c r="M3631" s="10"/>
      <c r="N3631" s="33">
        <v>1</v>
      </c>
      <c r="O3631" s="31">
        <f>ROUND(PRODUCT(J3631:N3631),2)</f>
        <v>1</v>
      </c>
      <c r="P3631" s="185"/>
    </row>
    <row r="3632" spans="1:16" hidden="1" outlineLevel="1">
      <c r="A3632" s="2">
        <v>8</v>
      </c>
      <c r="B3632" s="2">
        <v>14</v>
      </c>
      <c r="C3632" s="2">
        <f>C3630+1</f>
        <v>42</v>
      </c>
      <c r="E3632" s="20" t="str">
        <f>CONCATENATE(A3632,".",B3632,".",C3632)</f>
        <v>8.14.42</v>
      </c>
      <c r="F3632" s="21" t="s">
        <v>4592</v>
      </c>
      <c r="G3632" s="22" t="s">
        <v>3512</v>
      </c>
      <c r="H3632" s="23" t="s">
        <v>3513</v>
      </c>
      <c r="I3632" s="24" t="s">
        <v>36</v>
      </c>
      <c r="J3632" s="32"/>
      <c r="K3632" s="10"/>
      <c r="L3632" s="32"/>
      <c r="M3632" s="10"/>
      <c r="N3632" s="33"/>
      <c r="O3632" s="11">
        <f>SUM(O3633)</f>
        <v>2</v>
      </c>
      <c r="P3632" s="185"/>
    </row>
    <row r="3633" spans="1:17" hidden="1" outlineLevel="2">
      <c r="E3633" s="59"/>
      <c r="F3633" s="60"/>
      <c r="G3633" s="34"/>
      <c r="H3633" s="30"/>
      <c r="I3633" s="35"/>
      <c r="J3633" s="41"/>
      <c r="K3633" s="10"/>
      <c r="L3633" s="32"/>
      <c r="M3633" s="10"/>
      <c r="N3633" s="33">
        <v>2</v>
      </c>
      <c r="O3633" s="31">
        <f>ROUND(PRODUCT(J3633:N3633),2)</f>
        <v>2</v>
      </c>
      <c r="P3633" s="185"/>
    </row>
    <row r="3634" spans="1:17" hidden="1" outlineLevel="1">
      <c r="A3634" s="2">
        <v>8</v>
      </c>
      <c r="B3634" s="2">
        <v>14</v>
      </c>
      <c r="C3634" s="2">
        <f>C3632+1</f>
        <v>43</v>
      </c>
      <c r="E3634" s="20" t="str">
        <f>CONCATENATE(A3634,".",B3634,".",C3634)</f>
        <v>8.14.43</v>
      </c>
      <c r="F3634" s="21" t="s">
        <v>4593</v>
      </c>
      <c r="G3634" s="22" t="s">
        <v>4594</v>
      </c>
      <c r="H3634" s="23" t="s">
        <v>3400</v>
      </c>
      <c r="I3634" s="24" t="s">
        <v>36</v>
      </c>
      <c r="J3634" s="32"/>
      <c r="K3634" s="10"/>
      <c r="L3634" s="32"/>
      <c r="M3634" s="10"/>
      <c r="N3634" s="33"/>
      <c r="O3634" s="11">
        <f>SUM(O3635)</f>
        <v>1</v>
      </c>
      <c r="P3634" s="185"/>
    </row>
    <row r="3635" spans="1:17" hidden="1" outlineLevel="2">
      <c r="E3635" s="59"/>
      <c r="F3635" s="60"/>
      <c r="G3635" s="34"/>
      <c r="H3635" s="30"/>
      <c r="I3635" s="35"/>
      <c r="J3635" s="41"/>
      <c r="K3635" s="10"/>
      <c r="L3635" s="32"/>
      <c r="M3635" s="10"/>
      <c r="N3635" s="33">
        <v>1</v>
      </c>
      <c r="O3635" s="31">
        <f>ROUND(PRODUCT(J3635:N3635),2)</f>
        <v>1</v>
      </c>
      <c r="P3635" s="185"/>
    </row>
    <row r="3636" spans="1:17" hidden="1" outlineLevel="1">
      <c r="A3636" s="2">
        <v>8</v>
      </c>
      <c r="B3636" s="2">
        <v>14</v>
      </c>
      <c r="C3636" s="2">
        <f>C3634+1</f>
        <v>44</v>
      </c>
      <c r="E3636" s="20" t="str">
        <f>CONCATENATE(A3636,".",B3636,".",C3636)</f>
        <v>8.14.44</v>
      </c>
      <c r="F3636" s="21" t="s">
        <v>4595</v>
      </c>
      <c r="G3636" s="22" t="s">
        <v>3515</v>
      </c>
      <c r="H3636" s="23" t="s">
        <v>3516</v>
      </c>
      <c r="I3636" s="24" t="s">
        <v>36</v>
      </c>
      <c r="J3636" s="32"/>
      <c r="K3636" s="10"/>
      <c r="L3636" s="32"/>
      <c r="M3636" s="10"/>
      <c r="N3636" s="33"/>
      <c r="O3636" s="11">
        <f>SUM(O3637)</f>
        <v>100</v>
      </c>
      <c r="P3636" s="185"/>
    </row>
    <row r="3637" spans="1:17" hidden="1" outlineLevel="2">
      <c r="E3637" s="59"/>
      <c r="F3637" s="60"/>
      <c r="G3637" s="34"/>
      <c r="H3637" s="30"/>
      <c r="I3637" s="35"/>
      <c r="J3637" s="41"/>
      <c r="K3637" s="10"/>
      <c r="L3637" s="32"/>
      <c r="M3637" s="10"/>
      <c r="N3637" s="33">
        <v>100</v>
      </c>
      <c r="O3637" s="31">
        <f>ROUND(PRODUCT(J3637:N3637),2)</f>
        <v>100</v>
      </c>
      <c r="P3637" s="185"/>
    </row>
    <row r="3638" spans="1:17" hidden="1" outlineLevel="1">
      <c r="A3638" s="2">
        <v>8</v>
      </c>
      <c r="B3638" s="2">
        <v>14</v>
      </c>
      <c r="C3638" s="2">
        <f>C3636+1</f>
        <v>45</v>
      </c>
      <c r="E3638" s="20" t="str">
        <f>CONCATENATE(A3638,".",B3638,".",C3638)</f>
        <v>8.14.45</v>
      </c>
      <c r="F3638" s="21" t="s">
        <v>4596</v>
      </c>
      <c r="G3638" s="22" t="s">
        <v>4597</v>
      </c>
      <c r="H3638" s="23" t="s">
        <v>4598</v>
      </c>
      <c r="I3638" s="24" t="s">
        <v>36</v>
      </c>
      <c r="J3638" s="32"/>
      <c r="K3638" s="10"/>
      <c r="L3638" s="32"/>
      <c r="M3638" s="10"/>
      <c r="N3638" s="33"/>
      <c r="O3638" s="11">
        <f>SUM(O3639)</f>
        <v>1</v>
      </c>
      <c r="P3638" s="185"/>
    </row>
    <row r="3639" spans="1:17" hidden="1" outlineLevel="2">
      <c r="E3639" s="59"/>
      <c r="F3639" s="60"/>
      <c r="G3639" s="34"/>
      <c r="H3639" s="30"/>
      <c r="I3639" s="35"/>
      <c r="J3639" s="41"/>
      <c r="K3639" s="10"/>
      <c r="L3639" s="32"/>
      <c r="M3639" s="10"/>
      <c r="N3639" s="33">
        <v>1</v>
      </c>
      <c r="O3639" s="31">
        <f>ROUND(PRODUCT(J3639:N3639),2)</f>
        <v>1</v>
      </c>
      <c r="P3639" s="185"/>
    </row>
    <row r="3640" spans="1:17" hidden="1" outlineLevel="1">
      <c r="A3640" s="2">
        <v>8</v>
      </c>
      <c r="B3640" s="2">
        <v>14</v>
      </c>
      <c r="C3640" s="2">
        <f>C3638+1</f>
        <v>46</v>
      </c>
      <c r="E3640" s="20" t="str">
        <f>CONCATENATE(A3640,".",B3640,".",C3640)</f>
        <v>8.14.46</v>
      </c>
      <c r="F3640" s="21" t="s">
        <v>4599</v>
      </c>
      <c r="G3640" s="22" t="s">
        <v>4600</v>
      </c>
      <c r="H3640" s="23" t="s">
        <v>4601</v>
      </c>
      <c r="I3640" s="24" t="s">
        <v>36</v>
      </c>
      <c r="J3640" s="32"/>
      <c r="K3640" s="10"/>
      <c r="L3640" s="32"/>
      <c r="M3640" s="10"/>
      <c r="N3640" s="33"/>
      <c r="O3640" s="11">
        <f>SUM(O3641)</f>
        <v>2</v>
      </c>
      <c r="P3640" s="185"/>
    </row>
    <row r="3641" spans="1:17" hidden="1" outlineLevel="2">
      <c r="E3641" s="59"/>
      <c r="F3641" s="60"/>
      <c r="G3641" s="34"/>
      <c r="H3641" s="30"/>
      <c r="I3641" s="35"/>
      <c r="J3641" s="41"/>
      <c r="K3641" s="10"/>
      <c r="L3641" s="32"/>
      <c r="M3641" s="10"/>
      <c r="N3641" s="33">
        <v>2</v>
      </c>
      <c r="O3641" s="31">
        <f>ROUND(PRODUCT(J3641:N3641),2)</f>
        <v>2</v>
      </c>
      <c r="P3641" s="185"/>
    </row>
    <row r="3642" spans="1:17" ht="45" hidden="1" outlineLevel="1">
      <c r="A3642" s="2">
        <v>8</v>
      </c>
      <c r="B3642" s="2">
        <v>14</v>
      </c>
      <c r="C3642" s="2">
        <f>C3640+1</f>
        <v>47</v>
      </c>
      <c r="E3642" s="20" t="str">
        <f>CONCATENATE(A3642,".",B3642,".",C3642)</f>
        <v>8.14.47</v>
      </c>
      <c r="F3642" s="21" t="s">
        <v>4602</v>
      </c>
      <c r="G3642" s="22">
        <v>91898</v>
      </c>
      <c r="H3642" s="23" t="s">
        <v>4603</v>
      </c>
      <c r="I3642" s="24" t="s">
        <v>36</v>
      </c>
      <c r="J3642" s="32"/>
      <c r="K3642" s="10"/>
      <c r="L3642" s="32"/>
      <c r="M3642" s="10"/>
      <c r="N3642" s="33"/>
      <c r="O3642" s="11">
        <f>SUM(O3643)</f>
        <v>2</v>
      </c>
      <c r="P3642" s="185"/>
    </row>
    <row r="3643" spans="1:17" hidden="1" outlineLevel="2">
      <c r="E3643" s="59"/>
      <c r="F3643" s="60"/>
      <c r="G3643" s="34"/>
      <c r="H3643" s="30"/>
      <c r="I3643" s="35"/>
      <c r="J3643" s="41"/>
      <c r="K3643" s="10"/>
      <c r="L3643" s="32"/>
      <c r="M3643" s="10"/>
      <c r="N3643" s="33">
        <v>2</v>
      </c>
      <c r="O3643" s="31">
        <f>ROUND(PRODUCT(J3643:N3643),2)</f>
        <v>2</v>
      </c>
      <c r="P3643" s="185"/>
    </row>
    <row r="3644" spans="1:17" collapsed="1">
      <c r="E3644" s="42">
        <v>9</v>
      </c>
      <c r="F3644" s="43">
        <v>9</v>
      </c>
      <c r="G3644" s="13"/>
      <c r="H3644" s="14" t="s">
        <v>19</v>
      </c>
      <c r="I3644" s="15"/>
      <c r="J3644" s="16"/>
      <c r="K3644" s="17"/>
      <c r="L3644" s="16"/>
      <c r="M3644" s="17"/>
      <c r="N3644" s="18"/>
      <c r="O3644" s="19"/>
      <c r="P3644" s="185"/>
      <c r="Q3644" s="185"/>
    </row>
    <row r="3645" spans="1:17">
      <c r="A3645" s="2">
        <v>9</v>
      </c>
      <c r="B3645" s="2">
        <v>1</v>
      </c>
      <c r="E3645" s="42" t="str">
        <f>CONCATENATE(A3645,".",B3645)</f>
        <v>9.1</v>
      </c>
      <c r="F3645" s="45" t="s">
        <v>4604</v>
      </c>
      <c r="G3645" s="13"/>
      <c r="H3645" s="14" t="s">
        <v>1965</v>
      </c>
      <c r="I3645" s="15"/>
      <c r="J3645" s="16"/>
      <c r="K3645" s="17"/>
      <c r="L3645" s="16"/>
      <c r="M3645" s="17"/>
      <c r="N3645" s="18"/>
      <c r="O3645" s="19"/>
      <c r="P3645" s="185"/>
      <c r="Q3645" s="185"/>
    </row>
    <row r="3646" spans="1:17" ht="30" hidden="1" outlineLevel="1">
      <c r="A3646" s="2">
        <v>9</v>
      </c>
      <c r="B3646" s="2">
        <v>1</v>
      </c>
      <c r="C3646" s="2">
        <v>1</v>
      </c>
      <c r="E3646" s="20" t="str">
        <f>CONCATENATE(A3646,".",B3646,".",C3646)</f>
        <v>9.1.1</v>
      </c>
      <c r="F3646" s="120" t="s">
        <v>4605</v>
      </c>
      <c r="G3646" s="113">
        <v>99059</v>
      </c>
      <c r="H3646" s="114" t="s">
        <v>2821</v>
      </c>
      <c r="I3646" s="115" t="s">
        <v>144</v>
      </c>
      <c r="J3646" s="131"/>
      <c r="K3646" s="132"/>
      <c r="L3646" s="133"/>
      <c r="M3646" s="132"/>
      <c r="N3646" s="134"/>
      <c r="O3646" s="135">
        <f>SUM(O3647:O3650)</f>
        <v>93.5</v>
      </c>
      <c r="P3646" s="185"/>
      <c r="Q3646" s="185"/>
    </row>
    <row r="3647" spans="1:17" hidden="1" outlineLevel="1">
      <c r="E3647" s="20"/>
      <c r="F3647" s="120"/>
      <c r="G3647" s="136"/>
      <c r="H3647" s="118" t="s">
        <v>4606</v>
      </c>
      <c r="I3647" s="137"/>
      <c r="J3647" s="131"/>
      <c r="K3647" s="138"/>
      <c r="L3647" s="134"/>
      <c r="M3647" s="138"/>
      <c r="N3647" s="134">
        <v>24</v>
      </c>
      <c r="O3647" s="139">
        <f>ROUND(PRODUCT(J3647:N3647),2)</f>
        <v>24</v>
      </c>
      <c r="P3647" s="185"/>
      <c r="Q3647" s="185"/>
    </row>
    <row r="3648" spans="1:17" hidden="1" outlineLevel="1">
      <c r="E3648" s="20"/>
      <c r="F3648" s="120"/>
      <c r="G3648" s="136"/>
      <c r="H3648" s="118" t="s">
        <v>4450</v>
      </c>
      <c r="I3648" s="137"/>
      <c r="J3648" s="131"/>
      <c r="K3648" s="138"/>
      <c r="L3648" s="134"/>
      <c r="M3648" s="138"/>
      <c r="N3648" s="134">
        <v>29.6</v>
      </c>
      <c r="O3648" s="139">
        <f>ROUND(PRODUCT(J3648:N3648),2)</f>
        <v>29.6</v>
      </c>
      <c r="P3648" s="185"/>
      <c r="Q3648" s="185"/>
    </row>
    <row r="3649" spans="1:17" hidden="1" outlineLevel="1">
      <c r="E3649" s="20"/>
      <c r="F3649" s="120"/>
      <c r="G3649" s="136"/>
      <c r="H3649" s="118" t="s">
        <v>3621</v>
      </c>
      <c r="I3649" s="137"/>
      <c r="J3649" s="131"/>
      <c r="K3649" s="138"/>
      <c r="L3649" s="134"/>
      <c r="M3649" s="138"/>
      <c r="N3649" s="134">
        <v>21.4</v>
      </c>
      <c r="O3649" s="139">
        <f>ROUND(PRODUCT(J3649:N3649),2)</f>
        <v>21.4</v>
      </c>
      <c r="P3649" s="185"/>
      <c r="Q3649" s="185"/>
    </row>
    <row r="3650" spans="1:17" hidden="1" outlineLevel="1">
      <c r="E3650" s="20"/>
      <c r="F3650" s="120"/>
      <c r="G3650" s="136"/>
      <c r="H3650" s="118" t="s">
        <v>1226</v>
      </c>
      <c r="I3650" s="137"/>
      <c r="J3650" s="131"/>
      <c r="K3650" s="138"/>
      <c r="L3650" s="134"/>
      <c r="M3650" s="138"/>
      <c r="N3650" s="134">
        <v>18.5</v>
      </c>
      <c r="O3650" s="139">
        <f>ROUND(PRODUCT(J3650:N3650),2)</f>
        <v>18.5</v>
      </c>
      <c r="P3650" s="185"/>
      <c r="Q3650" s="185"/>
    </row>
    <row r="3651" spans="1:17" ht="45" hidden="1" outlineLevel="1">
      <c r="E3651" s="20"/>
      <c r="F3651" s="120" t="s">
        <v>4607</v>
      </c>
      <c r="G3651" s="113">
        <v>96521</v>
      </c>
      <c r="H3651" s="114" t="s">
        <v>1971</v>
      </c>
      <c r="I3651" s="115" t="s">
        <v>126</v>
      </c>
      <c r="J3651" s="131"/>
      <c r="K3651" s="132"/>
      <c r="L3651" s="133"/>
      <c r="M3651" s="132"/>
      <c r="N3651" s="134"/>
      <c r="O3651" s="135">
        <f>SUM(O3652:O3655)</f>
        <v>21.59</v>
      </c>
      <c r="P3651" s="185"/>
      <c r="Q3651" s="185"/>
    </row>
    <row r="3652" spans="1:17" hidden="1" outlineLevel="1">
      <c r="E3652" s="20"/>
      <c r="F3652" s="120"/>
      <c r="G3652" s="136"/>
      <c r="H3652" s="118" t="s">
        <v>4606</v>
      </c>
      <c r="I3652" s="137"/>
      <c r="J3652" s="131"/>
      <c r="K3652" s="138"/>
      <c r="L3652" s="134"/>
      <c r="M3652" s="138"/>
      <c r="N3652" s="134">
        <v>6.7</v>
      </c>
      <c r="O3652" s="139">
        <f>ROUND(PRODUCT(J3652:N3652),2)</f>
        <v>6.7</v>
      </c>
      <c r="P3652" s="185"/>
      <c r="Q3652" s="185"/>
    </row>
    <row r="3653" spans="1:17" hidden="1" outlineLevel="1">
      <c r="E3653" s="20"/>
      <c r="F3653" s="120"/>
      <c r="G3653" s="136"/>
      <c r="H3653" s="118" t="s">
        <v>4450</v>
      </c>
      <c r="I3653" s="137"/>
      <c r="J3653" s="131"/>
      <c r="K3653" s="138"/>
      <c r="L3653" s="134"/>
      <c r="M3653" s="138"/>
      <c r="N3653" s="134">
        <v>5.0199999999999996</v>
      </c>
      <c r="O3653" s="139">
        <f>ROUND(PRODUCT(J3653:N3653),2)</f>
        <v>5.0199999999999996</v>
      </c>
      <c r="P3653" s="185"/>
      <c r="Q3653" s="185"/>
    </row>
    <row r="3654" spans="1:17" hidden="1" outlineLevel="1">
      <c r="E3654" s="20"/>
      <c r="F3654" s="120"/>
      <c r="G3654" s="136"/>
      <c r="H3654" s="118" t="s">
        <v>3621</v>
      </c>
      <c r="I3654" s="137"/>
      <c r="J3654" s="131"/>
      <c r="K3654" s="138"/>
      <c r="L3654" s="134"/>
      <c r="M3654" s="138"/>
      <c r="N3654" s="134">
        <v>3.97</v>
      </c>
      <c r="O3654" s="139">
        <f>ROUND(PRODUCT(J3654:N3654),2)</f>
        <v>3.97</v>
      </c>
      <c r="P3654" s="185"/>
      <c r="Q3654" s="185"/>
    </row>
    <row r="3655" spans="1:17" hidden="1" outlineLevel="1">
      <c r="E3655" s="20"/>
      <c r="F3655" s="120"/>
      <c r="G3655" s="136"/>
      <c r="H3655" s="118" t="s">
        <v>1226</v>
      </c>
      <c r="I3655" s="137"/>
      <c r="J3655" s="131"/>
      <c r="K3655" s="138"/>
      <c r="L3655" s="134"/>
      <c r="M3655" s="138"/>
      <c r="N3655" s="134">
        <v>5.9</v>
      </c>
      <c r="O3655" s="139">
        <f>ROUND(PRODUCT(J3655:N3655),2)</f>
        <v>5.9</v>
      </c>
      <c r="P3655" s="185"/>
      <c r="Q3655" s="185"/>
    </row>
    <row r="3656" spans="1:17" ht="30" hidden="1" outlineLevel="1">
      <c r="A3656" s="2">
        <v>9</v>
      </c>
      <c r="B3656" s="2">
        <v>1</v>
      </c>
      <c r="C3656" s="2">
        <f>1+C3646</f>
        <v>2</v>
      </c>
      <c r="E3656" s="20" t="str">
        <f>CONCATENATE(A3656,".",B3656,".",C3656)</f>
        <v>9.1.2</v>
      </c>
      <c r="F3656" s="120" t="s">
        <v>4608</v>
      </c>
      <c r="G3656" s="113">
        <v>96525</v>
      </c>
      <c r="H3656" s="114" t="s">
        <v>1974</v>
      </c>
      <c r="I3656" s="115" t="s">
        <v>126</v>
      </c>
      <c r="J3656" s="131"/>
      <c r="K3656" s="132"/>
      <c r="L3656" s="133"/>
      <c r="M3656" s="132"/>
      <c r="N3656" s="134"/>
      <c r="O3656" s="135">
        <f>SUM(O3657:O3659)</f>
        <v>9.51</v>
      </c>
      <c r="P3656" s="185"/>
      <c r="Q3656" s="185"/>
    </row>
    <row r="3657" spans="1:17" hidden="1" outlineLevel="1">
      <c r="E3657" s="20"/>
      <c r="F3657" s="120"/>
      <c r="G3657" s="136"/>
      <c r="H3657" s="118" t="s">
        <v>4606</v>
      </c>
      <c r="I3657" s="137"/>
      <c r="J3657" s="131"/>
      <c r="K3657" s="138"/>
      <c r="L3657" s="134"/>
      <c r="M3657" s="138"/>
      <c r="N3657" s="134">
        <v>1.55</v>
      </c>
      <c r="O3657" s="139">
        <f>ROUND(PRODUCT(J3657:N3657),2)</f>
        <v>1.55</v>
      </c>
      <c r="P3657" s="185"/>
      <c r="Q3657" s="185"/>
    </row>
    <row r="3658" spans="1:17" hidden="1" outlineLevel="1">
      <c r="E3658" s="20"/>
      <c r="F3658" s="120"/>
      <c r="G3658" s="136"/>
      <c r="H3658" s="118" t="s">
        <v>3621</v>
      </c>
      <c r="I3658" s="137"/>
      <c r="J3658" s="131"/>
      <c r="K3658" s="138"/>
      <c r="L3658" s="134"/>
      <c r="M3658" s="138"/>
      <c r="N3658" s="134">
        <v>1.18</v>
      </c>
      <c r="O3658" s="139">
        <f>ROUND(PRODUCT(J3658:N3658),2)</f>
        <v>1.18</v>
      </c>
      <c r="P3658" s="185"/>
      <c r="Q3658" s="185"/>
    </row>
    <row r="3659" spans="1:17" hidden="1" outlineLevel="1">
      <c r="E3659" s="20"/>
      <c r="F3659" s="120"/>
      <c r="G3659" s="136"/>
      <c r="H3659" s="118" t="s">
        <v>1226</v>
      </c>
      <c r="I3659" s="137"/>
      <c r="J3659" s="131"/>
      <c r="K3659" s="138"/>
      <c r="L3659" s="134"/>
      <c r="M3659" s="138"/>
      <c r="N3659" s="134">
        <v>6.78</v>
      </c>
      <c r="O3659" s="139">
        <f>ROUND(PRODUCT(J3659:N3659),2)</f>
        <v>6.78</v>
      </c>
      <c r="P3659" s="185"/>
      <c r="Q3659" s="185"/>
    </row>
    <row r="3660" spans="1:17" ht="30" hidden="1" outlineLevel="1">
      <c r="E3660" s="20"/>
      <c r="F3660" s="120" t="s">
        <v>4609</v>
      </c>
      <c r="G3660" s="113">
        <v>96619</v>
      </c>
      <c r="H3660" s="114" t="s">
        <v>1977</v>
      </c>
      <c r="I3660" s="115" t="s">
        <v>45</v>
      </c>
      <c r="J3660" s="131"/>
      <c r="K3660" s="132"/>
      <c r="L3660" s="133"/>
      <c r="M3660" s="132"/>
      <c r="N3660" s="134"/>
      <c r="O3660" s="135">
        <f>SUM(O3661:O3664)</f>
        <v>39.400000000000006</v>
      </c>
      <c r="P3660" s="185"/>
      <c r="Q3660" s="185"/>
    </row>
    <row r="3661" spans="1:17" hidden="1" outlineLevel="1">
      <c r="E3661" s="20"/>
      <c r="F3661" s="120"/>
      <c r="G3661" s="136"/>
      <c r="H3661" s="118" t="s">
        <v>4606</v>
      </c>
      <c r="I3661" s="137"/>
      <c r="J3661" s="131"/>
      <c r="K3661" s="138"/>
      <c r="L3661" s="134"/>
      <c r="M3661" s="138"/>
      <c r="N3661" s="134">
        <v>4.32</v>
      </c>
      <c r="O3661" s="139">
        <f>ROUND(PRODUCT(J3661:N3661),2)</f>
        <v>4.32</v>
      </c>
      <c r="P3661" s="185"/>
      <c r="Q3661" s="185"/>
    </row>
    <row r="3662" spans="1:17" hidden="1" outlineLevel="1">
      <c r="E3662" s="20"/>
      <c r="F3662" s="120"/>
      <c r="G3662" s="136"/>
      <c r="H3662" s="118" t="s">
        <v>4450</v>
      </c>
      <c r="I3662" s="137"/>
      <c r="J3662" s="131"/>
      <c r="K3662" s="138"/>
      <c r="L3662" s="134"/>
      <c r="M3662" s="138"/>
      <c r="N3662" s="134">
        <v>25.68</v>
      </c>
      <c r="O3662" s="139">
        <f>ROUND(PRODUCT(J3662:N3662),2)</f>
        <v>25.68</v>
      </c>
      <c r="P3662" s="185"/>
      <c r="Q3662" s="185"/>
    </row>
    <row r="3663" spans="1:17" hidden="1" outlineLevel="1">
      <c r="E3663" s="20"/>
      <c r="F3663" s="120"/>
      <c r="G3663" s="136"/>
      <c r="H3663" s="118" t="s">
        <v>3621</v>
      </c>
      <c r="I3663" s="137"/>
      <c r="J3663" s="131"/>
      <c r="K3663" s="138"/>
      <c r="L3663" s="134"/>
      <c r="M3663" s="138"/>
      <c r="N3663" s="134">
        <v>2.56</v>
      </c>
      <c r="O3663" s="139">
        <f>ROUND(PRODUCT(J3663:N3663),2)</f>
        <v>2.56</v>
      </c>
      <c r="P3663" s="185"/>
      <c r="Q3663" s="185"/>
    </row>
    <row r="3664" spans="1:17" hidden="1" outlineLevel="1">
      <c r="E3664" s="20"/>
      <c r="F3664" s="120"/>
      <c r="G3664" s="136"/>
      <c r="H3664" s="118" t="s">
        <v>1226</v>
      </c>
      <c r="I3664" s="137"/>
      <c r="J3664" s="131"/>
      <c r="K3664" s="138"/>
      <c r="L3664" s="134"/>
      <c r="M3664" s="138"/>
      <c r="N3664" s="134">
        <v>6.84</v>
      </c>
      <c r="O3664" s="139">
        <f>ROUND(PRODUCT(J3664:N3664),2)</f>
        <v>6.84</v>
      </c>
      <c r="P3664" s="185"/>
      <c r="Q3664" s="185"/>
    </row>
    <row r="3665" spans="1:17" ht="30" hidden="1" outlineLevel="1">
      <c r="E3665" s="20"/>
      <c r="F3665" s="120" t="s">
        <v>4610</v>
      </c>
      <c r="G3665" s="113">
        <v>96557</v>
      </c>
      <c r="H3665" s="114" t="s">
        <v>1980</v>
      </c>
      <c r="I3665" s="115" t="s">
        <v>126</v>
      </c>
      <c r="J3665" s="131"/>
      <c r="K3665" s="132"/>
      <c r="L3665" s="133"/>
      <c r="M3665" s="132"/>
      <c r="N3665" s="134"/>
      <c r="O3665" s="135">
        <f>SUM(O3666:O3669)</f>
        <v>3.5000000000000004</v>
      </c>
      <c r="P3665" s="185"/>
      <c r="Q3665" s="185"/>
    </row>
    <row r="3666" spans="1:17" hidden="1" outlineLevel="1">
      <c r="E3666" s="20"/>
      <c r="F3666" s="120"/>
      <c r="G3666" s="136"/>
      <c r="H3666" s="118" t="s">
        <v>4606</v>
      </c>
      <c r="I3666" s="137"/>
      <c r="J3666" s="131"/>
      <c r="K3666" s="138"/>
      <c r="L3666" s="134"/>
      <c r="M3666" s="138"/>
      <c r="N3666" s="134">
        <v>0.8</v>
      </c>
      <c r="O3666" s="139">
        <f>ROUND(PRODUCT(J3666:N3666),2)</f>
        <v>0.8</v>
      </c>
      <c r="P3666" s="185"/>
      <c r="Q3666" s="185"/>
    </row>
    <row r="3667" spans="1:17" hidden="1" outlineLevel="1">
      <c r="E3667" s="20"/>
      <c r="F3667" s="120"/>
      <c r="G3667" s="136"/>
      <c r="H3667" s="118" t="s">
        <v>4450</v>
      </c>
      <c r="I3667" s="137"/>
      <c r="J3667" s="131"/>
      <c r="K3667" s="138"/>
      <c r="L3667" s="134"/>
      <c r="M3667" s="138"/>
      <c r="N3667" s="134">
        <v>1.9</v>
      </c>
      <c r="O3667" s="139">
        <f>ROUND(PRODUCT(J3667:N3667),2)</f>
        <v>1.9</v>
      </c>
      <c r="P3667" s="185"/>
      <c r="Q3667" s="185"/>
    </row>
    <row r="3668" spans="1:17" hidden="1" outlineLevel="1">
      <c r="E3668" s="20"/>
      <c r="F3668" s="120"/>
      <c r="G3668" s="136"/>
      <c r="H3668" s="118" t="s">
        <v>3621</v>
      </c>
      <c r="I3668" s="137"/>
      <c r="J3668" s="131"/>
      <c r="K3668" s="138"/>
      <c r="L3668" s="134"/>
      <c r="M3668" s="138"/>
      <c r="N3668" s="134">
        <v>0.6</v>
      </c>
      <c r="O3668" s="139">
        <f>ROUND(PRODUCT(J3668:N3668),2)</f>
        <v>0.6</v>
      </c>
      <c r="P3668" s="185"/>
      <c r="Q3668" s="185"/>
    </row>
    <row r="3669" spans="1:17" hidden="1" outlineLevel="1">
      <c r="E3669" s="20"/>
      <c r="F3669" s="120"/>
      <c r="G3669" s="136"/>
      <c r="H3669" s="118" t="s">
        <v>1226</v>
      </c>
      <c r="I3669" s="137"/>
      <c r="J3669" s="131"/>
      <c r="K3669" s="138"/>
      <c r="L3669" s="134"/>
      <c r="M3669" s="138"/>
      <c r="N3669" s="134">
        <v>0.2</v>
      </c>
      <c r="O3669" s="139">
        <f>ROUND(PRODUCT(J3669:N3669),2)</f>
        <v>0.2</v>
      </c>
      <c r="P3669" s="185"/>
      <c r="Q3669" s="185"/>
    </row>
    <row r="3670" spans="1:17" ht="30" hidden="1" outlineLevel="1">
      <c r="E3670" s="20"/>
      <c r="F3670" s="120" t="s">
        <v>4611</v>
      </c>
      <c r="G3670" s="113">
        <v>96535</v>
      </c>
      <c r="H3670" s="114" t="s">
        <v>1983</v>
      </c>
      <c r="I3670" s="115" t="s">
        <v>45</v>
      </c>
      <c r="J3670" s="131"/>
      <c r="K3670" s="132"/>
      <c r="L3670" s="133"/>
      <c r="M3670" s="132"/>
      <c r="N3670" s="134"/>
      <c r="O3670" s="135">
        <f>SUM(O3671:O3674)</f>
        <v>12.7</v>
      </c>
      <c r="P3670" s="185"/>
      <c r="Q3670" s="185"/>
    </row>
    <row r="3671" spans="1:17" hidden="1" outlineLevel="1">
      <c r="E3671" s="20"/>
      <c r="F3671" s="120"/>
      <c r="G3671" s="136"/>
      <c r="H3671" s="118" t="s">
        <v>4606</v>
      </c>
      <c r="I3671" s="137"/>
      <c r="J3671" s="131"/>
      <c r="K3671" s="138"/>
      <c r="L3671" s="134"/>
      <c r="M3671" s="138"/>
      <c r="N3671" s="134">
        <v>3.1</v>
      </c>
      <c r="O3671" s="139">
        <f>ROUND(PRODUCT(J3671:N3671),2)</f>
        <v>3.1</v>
      </c>
      <c r="P3671" s="185"/>
      <c r="Q3671" s="185"/>
    </row>
    <row r="3672" spans="1:17" hidden="1" outlineLevel="1">
      <c r="E3672" s="20"/>
      <c r="F3672" s="120"/>
      <c r="G3672" s="136"/>
      <c r="H3672" s="118" t="s">
        <v>4450</v>
      </c>
      <c r="I3672" s="137"/>
      <c r="J3672" s="131"/>
      <c r="K3672" s="138"/>
      <c r="L3672" s="134"/>
      <c r="M3672" s="138"/>
      <c r="N3672" s="134">
        <v>5.6</v>
      </c>
      <c r="O3672" s="139">
        <f>ROUND(PRODUCT(J3672:N3672),2)</f>
        <v>5.6</v>
      </c>
      <c r="P3672" s="185"/>
      <c r="Q3672" s="185"/>
    </row>
    <row r="3673" spans="1:17" hidden="1" outlineLevel="1">
      <c r="E3673" s="20"/>
      <c r="F3673" s="120"/>
      <c r="G3673" s="136"/>
      <c r="H3673" s="118" t="s">
        <v>3621</v>
      </c>
      <c r="I3673" s="137"/>
      <c r="J3673" s="131"/>
      <c r="K3673" s="138"/>
      <c r="L3673" s="134"/>
      <c r="M3673" s="138"/>
      <c r="N3673" s="134">
        <v>1.9</v>
      </c>
      <c r="O3673" s="139">
        <f>ROUND(PRODUCT(J3673:N3673),2)</f>
        <v>1.9</v>
      </c>
      <c r="P3673" s="185"/>
      <c r="Q3673" s="185"/>
    </row>
    <row r="3674" spans="1:17" hidden="1" outlineLevel="1">
      <c r="E3674" s="20"/>
      <c r="F3674" s="120"/>
      <c r="G3674" s="136"/>
      <c r="H3674" s="118" t="s">
        <v>1226</v>
      </c>
      <c r="I3674" s="137"/>
      <c r="J3674" s="131"/>
      <c r="K3674" s="138"/>
      <c r="L3674" s="134"/>
      <c r="M3674" s="138"/>
      <c r="N3674" s="134">
        <v>2.1</v>
      </c>
      <c r="O3674" s="139">
        <f>ROUND(PRODUCT(J3674:N3674),2)</f>
        <v>2.1</v>
      </c>
      <c r="P3674" s="185"/>
      <c r="Q3674" s="185"/>
    </row>
    <row r="3675" spans="1:17" ht="30" hidden="1" outlineLevel="1">
      <c r="A3675" s="2">
        <v>9</v>
      </c>
      <c r="B3675" s="2">
        <v>1</v>
      </c>
      <c r="C3675" s="2">
        <f>1+C3656</f>
        <v>3</v>
      </c>
      <c r="E3675" s="20" t="str">
        <f>CONCATENATE(A3675,".",B3675,".",C3675)</f>
        <v>9.1.3</v>
      </c>
      <c r="F3675" s="120" t="s">
        <v>4612</v>
      </c>
      <c r="G3675" s="113">
        <v>96536</v>
      </c>
      <c r="H3675" s="114" t="s">
        <v>1986</v>
      </c>
      <c r="I3675" s="115" t="s">
        <v>45</v>
      </c>
      <c r="J3675" s="131"/>
      <c r="K3675" s="132"/>
      <c r="L3675" s="133"/>
      <c r="M3675" s="132"/>
      <c r="N3675" s="134"/>
      <c r="O3675" s="135">
        <f>SUM(O3676:O3679)</f>
        <v>54.900000000000006</v>
      </c>
      <c r="P3675" s="185"/>
      <c r="Q3675" s="185"/>
    </row>
    <row r="3676" spans="1:17" hidden="1" outlineLevel="1">
      <c r="E3676" s="20"/>
      <c r="F3676" s="120"/>
      <c r="G3676" s="136"/>
      <c r="H3676" s="118" t="s">
        <v>4606</v>
      </c>
      <c r="I3676" s="137"/>
      <c r="J3676" s="131"/>
      <c r="K3676" s="138"/>
      <c r="L3676" s="134"/>
      <c r="M3676" s="138"/>
      <c r="N3676" s="134">
        <v>13.8</v>
      </c>
      <c r="O3676" s="139">
        <f>ROUND(PRODUCT(J3676:N3676),2)</f>
        <v>13.8</v>
      </c>
      <c r="P3676" s="185"/>
      <c r="Q3676" s="185"/>
    </row>
    <row r="3677" spans="1:17" hidden="1" outlineLevel="1">
      <c r="E3677" s="20"/>
      <c r="F3677" s="120"/>
      <c r="G3677" s="136"/>
      <c r="H3677" s="118" t="s">
        <v>4450</v>
      </c>
      <c r="I3677" s="137"/>
      <c r="J3677" s="131"/>
      <c r="K3677" s="138"/>
      <c r="L3677" s="134"/>
      <c r="M3677" s="138"/>
      <c r="N3677" s="134">
        <v>27.8</v>
      </c>
      <c r="O3677" s="139">
        <f>ROUND(PRODUCT(J3677:N3677),2)</f>
        <v>27.8</v>
      </c>
      <c r="P3677" s="185"/>
      <c r="Q3677" s="185"/>
    </row>
    <row r="3678" spans="1:17" hidden="1" outlineLevel="1">
      <c r="E3678" s="20"/>
      <c r="F3678" s="120"/>
      <c r="G3678" s="136"/>
      <c r="H3678" s="118" t="s">
        <v>3621</v>
      </c>
      <c r="I3678" s="137"/>
      <c r="J3678" s="131"/>
      <c r="K3678" s="138"/>
      <c r="L3678" s="134"/>
      <c r="M3678" s="138"/>
      <c r="N3678" s="134">
        <v>10.6</v>
      </c>
      <c r="O3678" s="139">
        <f>ROUND(PRODUCT(J3678:N3678),2)</f>
        <v>10.6</v>
      </c>
      <c r="P3678" s="185"/>
      <c r="Q3678" s="185"/>
    </row>
    <row r="3679" spans="1:17" hidden="1" outlineLevel="1">
      <c r="E3679" s="20"/>
      <c r="F3679" s="120"/>
      <c r="G3679" s="136"/>
      <c r="H3679" s="118" t="s">
        <v>1226</v>
      </c>
      <c r="I3679" s="137"/>
      <c r="J3679" s="131"/>
      <c r="K3679" s="138"/>
      <c r="L3679" s="134"/>
      <c r="M3679" s="138"/>
      <c r="N3679" s="134">
        <v>2.7</v>
      </c>
      <c r="O3679" s="139">
        <f>ROUND(PRODUCT(J3679:N3679),2)</f>
        <v>2.7</v>
      </c>
      <c r="P3679" s="185"/>
      <c r="Q3679" s="185"/>
    </row>
    <row r="3680" spans="1:17" ht="45" hidden="1" outlineLevel="1">
      <c r="E3680" s="20"/>
      <c r="F3680" s="120" t="s">
        <v>4613</v>
      </c>
      <c r="G3680" s="113">
        <v>92439</v>
      </c>
      <c r="H3680" s="114" t="s">
        <v>1989</v>
      </c>
      <c r="I3680" s="115" t="s">
        <v>45</v>
      </c>
      <c r="J3680" s="131"/>
      <c r="K3680" s="132"/>
      <c r="L3680" s="133"/>
      <c r="M3680" s="132"/>
      <c r="N3680" s="134"/>
      <c r="O3680" s="135">
        <f>SUM(O3681:O3684)</f>
        <v>39.5</v>
      </c>
      <c r="P3680" s="185"/>
      <c r="Q3680" s="185"/>
    </row>
    <row r="3681" spans="1:17" hidden="1" outlineLevel="1">
      <c r="E3681" s="20"/>
      <c r="F3681" s="120"/>
      <c r="G3681" s="136"/>
      <c r="H3681" s="118" t="s">
        <v>4606</v>
      </c>
      <c r="I3681" s="137"/>
      <c r="J3681" s="131"/>
      <c r="K3681" s="138"/>
      <c r="L3681" s="134"/>
      <c r="M3681" s="138"/>
      <c r="N3681" s="134">
        <v>5.8</v>
      </c>
      <c r="O3681" s="139">
        <f>ROUND(PRODUCT(J3681:N3681),2)</f>
        <v>5.8</v>
      </c>
      <c r="P3681" s="185"/>
      <c r="Q3681" s="185"/>
    </row>
    <row r="3682" spans="1:17" hidden="1" outlineLevel="1">
      <c r="E3682" s="20"/>
      <c r="F3682" s="120"/>
      <c r="G3682" s="136"/>
      <c r="H3682" s="118" t="s">
        <v>4450</v>
      </c>
      <c r="I3682" s="137"/>
      <c r="J3682" s="131"/>
      <c r="K3682" s="138"/>
      <c r="L3682" s="134"/>
      <c r="M3682" s="138"/>
      <c r="N3682" s="134">
        <v>24.5</v>
      </c>
      <c r="O3682" s="139">
        <f>ROUND(PRODUCT(J3682:N3682),2)</f>
        <v>24.5</v>
      </c>
      <c r="P3682" s="185"/>
      <c r="Q3682" s="185"/>
    </row>
    <row r="3683" spans="1:17" hidden="1" outlineLevel="1">
      <c r="E3683" s="20"/>
      <c r="F3683" s="120"/>
      <c r="G3683" s="136"/>
      <c r="H3683" s="118" t="s">
        <v>3621</v>
      </c>
      <c r="I3683" s="137"/>
      <c r="J3683" s="131"/>
      <c r="K3683" s="138"/>
      <c r="L3683" s="134"/>
      <c r="M3683" s="138"/>
      <c r="N3683" s="134">
        <v>3.8</v>
      </c>
      <c r="O3683" s="139">
        <f>ROUND(PRODUCT(J3683:N3683),2)</f>
        <v>3.8</v>
      </c>
      <c r="P3683" s="185"/>
      <c r="Q3683" s="185"/>
    </row>
    <row r="3684" spans="1:17" hidden="1" outlineLevel="1">
      <c r="E3684" s="20"/>
      <c r="F3684" s="120"/>
      <c r="G3684" s="136"/>
      <c r="H3684" s="118" t="s">
        <v>1226</v>
      </c>
      <c r="I3684" s="137"/>
      <c r="J3684" s="131"/>
      <c r="K3684" s="138"/>
      <c r="L3684" s="134"/>
      <c r="M3684" s="138"/>
      <c r="N3684" s="134">
        <v>5.4</v>
      </c>
      <c r="O3684" s="139">
        <f>ROUND(PRODUCT(J3684:N3684),2)</f>
        <v>5.4</v>
      </c>
      <c r="P3684" s="185"/>
      <c r="Q3684" s="185"/>
    </row>
    <row r="3685" spans="1:17" ht="30" hidden="1" outlineLevel="1">
      <c r="E3685" s="20"/>
      <c r="F3685" s="120" t="s">
        <v>4614</v>
      </c>
      <c r="G3685" s="113">
        <v>92486</v>
      </c>
      <c r="H3685" s="114" t="s">
        <v>2139</v>
      </c>
      <c r="I3685" s="115" t="s">
        <v>45</v>
      </c>
      <c r="J3685" s="131"/>
      <c r="K3685" s="132"/>
      <c r="L3685" s="133"/>
      <c r="M3685" s="132"/>
      <c r="N3685" s="134"/>
      <c r="O3685" s="135">
        <f>SUM(O3686)</f>
        <v>118</v>
      </c>
      <c r="P3685" s="185"/>
      <c r="Q3685" s="185"/>
    </row>
    <row r="3686" spans="1:17" hidden="1" outlineLevel="1">
      <c r="E3686" s="20"/>
      <c r="F3686" s="120"/>
      <c r="G3686" s="136"/>
      <c r="H3686" s="118"/>
      <c r="I3686" s="140"/>
      <c r="J3686" s="140"/>
      <c r="K3686" s="138"/>
      <c r="L3686" s="138"/>
      <c r="M3686" s="140"/>
      <c r="N3686" s="138">
        <v>118</v>
      </c>
      <c r="O3686" s="139">
        <f>ROUND(PRODUCT(J3686:N3686),2)</f>
        <v>118</v>
      </c>
      <c r="P3686" s="185"/>
      <c r="Q3686" s="185"/>
    </row>
    <row r="3687" spans="1:17" ht="30" hidden="1" outlineLevel="1">
      <c r="E3687" s="20"/>
      <c r="F3687" s="120" t="s">
        <v>4615</v>
      </c>
      <c r="G3687" s="113">
        <v>104916</v>
      </c>
      <c r="H3687" s="114" t="s">
        <v>1992</v>
      </c>
      <c r="I3687" s="115" t="s">
        <v>80</v>
      </c>
      <c r="J3687" s="131"/>
      <c r="K3687" s="132"/>
      <c r="L3687" s="133"/>
      <c r="M3687" s="132"/>
      <c r="N3687" s="134"/>
      <c r="O3687" s="135">
        <f>SUM(O3688:O3691)</f>
        <v>83.27</v>
      </c>
      <c r="P3687" s="185"/>
      <c r="Q3687" s="185"/>
    </row>
    <row r="3688" spans="1:17" hidden="1" outlineLevel="1">
      <c r="E3688" s="20"/>
      <c r="F3688" s="120"/>
      <c r="G3688" s="136"/>
      <c r="H3688" s="118" t="s">
        <v>4616</v>
      </c>
      <c r="I3688" s="140"/>
      <c r="J3688" s="140"/>
      <c r="K3688" s="138"/>
      <c r="L3688" s="138"/>
      <c r="M3688" s="140"/>
      <c r="N3688" s="138">
        <v>14.91</v>
      </c>
      <c r="O3688" s="139">
        <f>ROUND(PRODUCT(J3688:N3688),2)</f>
        <v>14.91</v>
      </c>
      <c r="P3688" s="185"/>
      <c r="Q3688" s="185"/>
    </row>
    <row r="3689" spans="1:17" hidden="1" outlineLevel="1">
      <c r="E3689" s="20"/>
      <c r="F3689" s="120"/>
      <c r="G3689" s="136"/>
      <c r="H3689" s="118" t="s">
        <v>4617</v>
      </c>
      <c r="I3689" s="140"/>
      <c r="J3689" s="140"/>
      <c r="K3689" s="138"/>
      <c r="L3689" s="138"/>
      <c r="M3689" s="140"/>
      <c r="N3689" s="138">
        <v>54.09</v>
      </c>
      <c r="O3689" s="139">
        <f>ROUND(PRODUCT(J3689:N3689),2)</f>
        <v>54.09</v>
      </c>
      <c r="P3689" s="185"/>
      <c r="Q3689" s="185"/>
    </row>
    <row r="3690" spans="1:17" hidden="1" outlineLevel="1">
      <c r="E3690" s="20"/>
      <c r="F3690" s="120"/>
      <c r="G3690" s="136"/>
      <c r="H3690" s="118" t="s">
        <v>4618</v>
      </c>
      <c r="I3690" s="140"/>
      <c r="J3690" s="140"/>
      <c r="K3690" s="138"/>
      <c r="L3690" s="138"/>
      <c r="M3690" s="140"/>
      <c r="N3690" s="138">
        <v>11.27</v>
      </c>
      <c r="O3690" s="139">
        <f>ROUND(PRODUCT(J3690:N3690),2)</f>
        <v>11.27</v>
      </c>
      <c r="P3690" s="185"/>
      <c r="Q3690" s="185"/>
    </row>
    <row r="3691" spans="1:17" hidden="1" outlineLevel="1">
      <c r="E3691" s="20"/>
      <c r="F3691" s="120"/>
      <c r="G3691" s="136"/>
      <c r="H3691" s="118" t="s">
        <v>4619</v>
      </c>
      <c r="I3691" s="140"/>
      <c r="J3691" s="140"/>
      <c r="K3691" s="138"/>
      <c r="L3691" s="138"/>
      <c r="M3691" s="140"/>
      <c r="N3691" s="138">
        <v>3</v>
      </c>
      <c r="O3691" s="139">
        <f>ROUND(PRODUCT(J3691:N3691),2)</f>
        <v>3</v>
      </c>
      <c r="P3691" s="185"/>
      <c r="Q3691" s="185"/>
    </row>
    <row r="3692" spans="1:17" ht="30" hidden="1" outlineLevel="1">
      <c r="E3692" s="20"/>
      <c r="F3692" s="120" t="s">
        <v>4620</v>
      </c>
      <c r="G3692" s="113">
        <v>104919</v>
      </c>
      <c r="H3692" s="114" t="s">
        <v>2001</v>
      </c>
      <c r="I3692" s="115" t="s">
        <v>80</v>
      </c>
      <c r="J3692" s="141"/>
      <c r="K3692" s="132"/>
      <c r="L3692" s="133"/>
      <c r="M3692" s="142"/>
      <c r="N3692" s="134"/>
      <c r="O3692" s="135">
        <f>SUM(O3693:O3693)</f>
        <v>10.82</v>
      </c>
      <c r="P3692" s="185"/>
      <c r="Q3692" s="185"/>
    </row>
    <row r="3693" spans="1:17" hidden="1" outlineLevel="1">
      <c r="A3693" s="2">
        <v>9</v>
      </c>
      <c r="B3693" s="2">
        <v>1</v>
      </c>
      <c r="C3693" s="2">
        <f>1+C3675</f>
        <v>4</v>
      </c>
      <c r="E3693" s="20" t="str">
        <f>CONCATENATE(A3693,".",B3693,".",C3693)</f>
        <v>9.1.4</v>
      </c>
      <c r="F3693" s="120"/>
      <c r="G3693" s="136"/>
      <c r="H3693" s="118" t="s">
        <v>4618</v>
      </c>
      <c r="I3693" s="140"/>
      <c r="J3693" s="140"/>
      <c r="K3693" s="138"/>
      <c r="L3693" s="138"/>
      <c r="M3693" s="140"/>
      <c r="N3693" s="138">
        <v>10.82</v>
      </c>
      <c r="O3693" s="139">
        <f>ROUND(PRODUCT(J3693:N3693),2)</f>
        <v>10.82</v>
      </c>
      <c r="P3693" s="185"/>
      <c r="Q3693" s="185"/>
    </row>
    <row r="3694" spans="1:17" ht="30" hidden="1" outlineLevel="1">
      <c r="E3694" s="20"/>
      <c r="F3694" s="120" t="s">
        <v>4621</v>
      </c>
      <c r="G3694" s="113">
        <v>104920</v>
      </c>
      <c r="H3694" s="114" t="s">
        <v>2004</v>
      </c>
      <c r="I3694" s="115" t="s">
        <v>80</v>
      </c>
      <c r="J3694" s="141"/>
      <c r="K3694" s="132"/>
      <c r="L3694" s="133"/>
      <c r="M3694" s="142"/>
      <c r="N3694" s="134"/>
      <c r="O3694" s="135">
        <f>SUM(O3695:O3695)</f>
        <v>88.01</v>
      </c>
      <c r="P3694" s="185"/>
      <c r="Q3694" s="49"/>
    </row>
    <row r="3695" spans="1:17" hidden="1" outlineLevel="1">
      <c r="E3695" s="20"/>
      <c r="F3695" s="120"/>
      <c r="G3695" s="136"/>
      <c r="H3695" s="118" t="s">
        <v>4622</v>
      </c>
      <c r="I3695" s="140"/>
      <c r="J3695" s="140"/>
      <c r="K3695" s="138"/>
      <c r="L3695" s="138"/>
      <c r="M3695" s="140"/>
      <c r="N3695" s="138">
        <v>88.01</v>
      </c>
      <c r="O3695" s="139">
        <f>ROUND(PRODUCT(J3695:N3695),2)</f>
        <v>88.01</v>
      </c>
      <c r="P3695" s="185"/>
      <c r="Q3695" s="49"/>
    </row>
    <row r="3696" spans="1:17" ht="30" hidden="1" outlineLevel="1">
      <c r="E3696" s="20"/>
      <c r="F3696" s="120" t="s">
        <v>4623</v>
      </c>
      <c r="G3696" s="113">
        <v>92759</v>
      </c>
      <c r="H3696" s="114" t="s">
        <v>79</v>
      </c>
      <c r="I3696" s="115" t="s">
        <v>80</v>
      </c>
      <c r="J3696" s="141"/>
      <c r="K3696" s="132"/>
      <c r="L3696" s="133"/>
      <c r="M3696" s="142"/>
      <c r="N3696" s="134"/>
      <c r="O3696" s="135">
        <f>SUM(O3697:O3700)</f>
        <v>44.099999999999994</v>
      </c>
      <c r="P3696" s="185"/>
      <c r="Q3696" s="49"/>
    </row>
    <row r="3697" spans="1:17" hidden="1" outlineLevel="1">
      <c r="E3697" s="20"/>
      <c r="F3697" s="120"/>
      <c r="G3697" s="136"/>
      <c r="H3697" s="118" t="s">
        <v>4624</v>
      </c>
      <c r="I3697" s="140"/>
      <c r="J3697" s="140"/>
      <c r="K3697" s="138"/>
      <c r="L3697" s="138"/>
      <c r="M3697" s="140"/>
      <c r="N3697" s="138">
        <v>7.55</v>
      </c>
      <c r="O3697" s="139">
        <f>ROUND(PRODUCT(J3697:N3697),2)</f>
        <v>7.55</v>
      </c>
      <c r="P3697" s="185"/>
      <c r="Q3697" s="49"/>
    </row>
    <row r="3698" spans="1:17" hidden="1" outlineLevel="1">
      <c r="E3698" s="20"/>
      <c r="F3698" s="120"/>
      <c r="G3698" s="136"/>
      <c r="H3698" s="118" t="s">
        <v>4625</v>
      </c>
      <c r="I3698" s="140"/>
      <c r="J3698" s="140"/>
      <c r="K3698" s="138"/>
      <c r="L3698" s="138"/>
      <c r="M3698" s="140"/>
      <c r="N3698" s="138">
        <v>24.46</v>
      </c>
      <c r="O3698" s="139">
        <f>ROUND(PRODUCT(J3698:N3698),2)</f>
        <v>24.46</v>
      </c>
      <c r="P3698" s="185"/>
      <c r="Q3698" s="49"/>
    </row>
    <row r="3699" spans="1:17" hidden="1" outlineLevel="1">
      <c r="E3699" s="20"/>
      <c r="F3699" s="120"/>
      <c r="G3699" s="136"/>
      <c r="H3699" s="118" t="s">
        <v>4626</v>
      </c>
      <c r="I3699" s="140"/>
      <c r="J3699" s="140"/>
      <c r="K3699" s="138"/>
      <c r="L3699" s="138"/>
      <c r="M3699" s="140"/>
      <c r="N3699" s="138">
        <v>5.09</v>
      </c>
      <c r="O3699" s="139">
        <f>ROUND(PRODUCT(J3699:N3699),2)</f>
        <v>5.09</v>
      </c>
      <c r="P3699" s="185"/>
      <c r="Q3699" s="49"/>
    </row>
    <row r="3700" spans="1:17" hidden="1" outlineLevel="1">
      <c r="E3700" s="20"/>
      <c r="F3700" s="120"/>
      <c r="G3700" s="136"/>
      <c r="H3700" s="118" t="s">
        <v>4627</v>
      </c>
      <c r="I3700" s="140"/>
      <c r="J3700" s="140"/>
      <c r="K3700" s="138"/>
      <c r="L3700" s="138"/>
      <c r="M3700" s="140"/>
      <c r="N3700" s="138">
        <v>7</v>
      </c>
      <c r="O3700" s="139">
        <f>ROUND(PRODUCT(J3700:N3700),2)</f>
        <v>7</v>
      </c>
      <c r="P3700" s="185"/>
      <c r="Q3700" s="49"/>
    </row>
    <row r="3701" spans="1:17" ht="30" hidden="1" outlineLevel="1">
      <c r="E3701" s="20"/>
      <c r="F3701" s="120" t="s">
        <v>4628</v>
      </c>
      <c r="G3701" s="113">
        <v>92762</v>
      </c>
      <c r="H3701" s="114" t="s">
        <v>89</v>
      </c>
      <c r="I3701" s="115" t="s">
        <v>80</v>
      </c>
      <c r="J3701" s="131"/>
      <c r="K3701" s="132"/>
      <c r="L3701" s="133"/>
      <c r="M3701" s="142"/>
      <c r="N3701" s="134"/>
      <c r="O3701" s="135">
        <f>SUM(O3702:O3704)</f>
        <v>73.010000000000005</v>
      </c>
      <c r="P3701" s="185"/>
      <c r="Q3701" s="49"/>
    </row>
    <row r="3702" spans="1:17" hidden="1" outlineLevel="1">
      <c r="E3702" s="20"/>
      <c r="F3702" s="120"/>
      <c r="G3702" s="136"/>
      <c r="H3702" s="118" t="s">
        <v>4624</v>
      </c>
      <c r="I3702" s="140"/>
      <c r="J3702" s="140"/>
      <c r="K3702" s="138"/>
      <c r="L3702" s="138"/>
      <c r="M3702" s="140"/>
      <c r="N3702" s="138">
        <v>29.18</v>
      </c>
      <c r="O3702" s="139">
        <f>ROUND(PRODUCT(J3702:N3702),2)</f>
        <v>29.18</v>
      </c>
      <c r="P3702" s="185"/>
      <c r="Q3702" s="49"/>
    </row>
    <row r="3703" spans="1:17" hidden="1" outlineLevel="1">
      <c r="E3703" s="20"/>
      <c r="F3703" s="120"/>
      <c r="G3703" s="136"/>
      <c r="H3703" s="118" t="s">
        <v>4626</v>
      </c>
      <c r="I3703" s="140"/>
      <c r="J3703" s="140"/>
      <c r="K3703" s="138"/>
      <c r="L3703" s="138"/>
      <c r="M3703" s="140"/>
      <c r="N3703" s="138">
        <v>19.46</v>
      </c>
      <c r="O3703" s="139">
        <f>ROUND(PRODUCT(J3703:N3703),2)</f>
        <v>19.46</v>
      </c>
      <c r="P3703" s="185"/>
      <c r="Q3703" s="49"/>
    </row>
    <row r="3704" spans="1:17" hidden="1" outlineLevel="1">
      <c r="E3704" s="20"/>
      <c r="F3704" s="120"/>
      <c r="G3704" s="136"/>
      <c r="H3704" s="118" t="s">
        <v>4627</v>
      </c>
      <c r="I3704" s="140"/>
      <c r="J3704" s="140"/>
      <c r="K3704" s="138"/>
      <c r="L3704" s="138"/>
      <c r="M3704" s="140"/>
      <c r="N3704" s="138">
        <v>24.37</v>
      </c>
      <c r="O3704" s="139">
        <f>ROUND(PRODUCT(J3704:N3704),2)</f>
        <v>24.37</v>
      </c>
      <c r="P3704" s="185"/>
      <c r="Q3704" s="49"/>
    </row>
    <row r="3705" spans="1:17" ht="30" hidden="1" outlineLevel="1">
      <c r="A3705" s="2">
        <v>9</v>
      </c>
      <c r="B3705" s="2">
        <v>1</v>
      </c>
      <c r="C3705" s="2">
        <f>1+C3693</f>
        <v>5</v>
      </c>
      <c r="E3705" s="20" t="str">
        <f>CONCATENATE(A3705,".",B3705,".",C3705)</f>
        <v>9.1.5</v>
      </c>
      <c r="F3705" s="120" t="s">
        <v>4629</v>
      </c>
      <c r="G3705" s="113">
        <v>92763</v>
      </c>
      <c r="H3705" s="114" t="s">
        <v>92</v>
      </c>
      <c r="I3705" s="115" t="s">
        <v>80</v>
      </c>
      <c r="J3705" s="141"/>
      <c r="K3705" s="132"/>
      <c r="L3705" s="133"/>
      <c r="M3705" s="142"/>
      <c r="N3705" s="134"/>
      <c r="O3705" s="135">
        <f>SUM(O3706)</f>
        <v>180.1</v>
      </c>
      <c r="P3705" s="185"/>
      <c r="Q3705" s="185"/>
    </row>
    <row r="3706" spans="1:17" ht="16.149999999999999" hidden="1" customHeight="1" outlineLevel="1">
      <c r="E3706" s="20"/>
      <c r="F3706" s="120"/>
      <c r="G3706" s="136"/>
      <c r="H3706" s="118" t="s">
        <v>4625</v>
      </c>
      <c r="I3706" s="140"/>
      <c r="J3706" s="140"/>
      <c r="K3706" s="138"/>
      <c r="L3706" s="138"/>
      <c r="M3706" s="140"/>
      <c r="N3706" s="138">
        <v>180.1</v>
      </c>
      <c r="O3706" s="139">
        <f>ROUND(PRODUCT(J3706:N3706),2)</f>
        <v>180.1</v>
      </c>
      <c r="P3706" s="185"/>
      <c r="Q3706" s="185"/>
    </row>
    <row r="3707" spans="1:17" ht="30" hidden="1" outlineLevel="1">
      <c r="E3707" s="20"/>
      <c r="F3707" s="120" t="s">
        <v>4630</v>
      </c>
      <c r="G3707" s="113">
        <v>95944</v>
      </c>
      <c r="H3707" s="114" t="s">
        <v>1686</v>
      </c>
      <c r="I3707" s="115" t="s">
        <v>80</v>
      </c>
      <c r="J3707" s="131"/>
      <c r="K3707" s="132"/>
      <c r="L3707" s="133"/>
      <c r="M3707" s="132"/>
      <c r="N3707" s="134"/>
      <c r="O3707" s="135">
        <f>SUM(O3708)</f>
        <v>27.45</v>
      </c>
      <c r="P3707" s="185"/>
      <c r="Q3707" s="185"/>
    </row>
    <row r="3708" spans="1:17" hidden="1" outlineLevel="1">
      <c r="E3708" s="20"/>
      <c r="F3708" s="120"/>
      <c r="G3708" s="136"/>
      <c r="H3708" s="118"/>
      <c r="I3708" s="137"/>
      <c r="J3708" s="143"/>
      <c r="K3708" s="138"/>
      <c r="L3708" s="134"/>
      <c r="M3708" s="138"/>
      <c r="N3708" s="134">
        <v>27.45</v>
      </c>
      <c r="O3708" s="139">
        <f>ROUND(PRODUCT(J3708:N3708),2)</f>
        <v>27.45</v>
      </c>
      <c r="P3708" s="185"/>
      <c r="Q3708" s="185"/>
    </row>
    <row r="3709" spans="1:17" ht="30" hidden="1" outlineLevel="1">
      <c r="E3709" s="20"/>
      <c r="F3709" s="120" t="s">
        <v>4631</v>
      </c>
      <c r="G3709" s="113">
        <v>95943</v>
      </c>
      <c r="H3709" s="114" t="s">
        <v>1680</v>
      </c>
      <c r="I3709" s="115" t="s">
        <v>80</v>
      </c>
      <c r="J3709" s="131"/>
      <c r="K3709" s="132"/>
      <c r="L3709" s="133"/>
      <c r="M3709" s="132"/>
      <c r="N3709" s="134"/>
      <c r="O3709" s="135">
        <f>SUM(O3710)</f>
        <v>0.55000000000000004</v>
      </c>
      <c r="P3709" s="185"/>
      <c r="Q3709" s="185"/>
    </row>
    <row r="3710" spans="1:17" hidden="1" outlineLevel="1">
      <c r="E3710" s="20"/>
      <c r="F3710" s="120"/>
      <c r="G3710" s="136"/>
      <c r="H3710" s="118"/>
      <c r="I3710" s="137"/>
      <c r="J3710" s="143"/>
      <c r="K3710" s="138"/>
      <c r="L3710" s="134"/>
      <c r="M3710" s="138"/>
      <c r="N3710" s="134">
        <v>0.55000000000000004</v>
      </c>
      <c r="O3710" s="139">
        <f>ROUND(PRODUCT(J3710:N3710),2)</f>
        <v>0.55000000000000004</v>
      </c>
      <c r="P3710" s="185"/>
      <c r="Q3710" s="185"/>
    </row>
    <row r="3711" spans="1:17" ht="30" hidden="1" outlineLevel="1">
      <c r="E3711" s="20"/>
      <c r="F3711" s="120" t="s">
        <v>4632</v>
      </c>
      <c r="G3711" s="113">
        <v>95945</v>
      </c>
      <c r="H3711" s="114" t="s">
        <v>1689</v>
      </c>
      <c r="I3711" s="115" t="s">
        <v>80</v>
      </c>
      <c r="J3711" s="131"/>
      <c r="K3711" s="132"/>
      <c r="L3711" s="133"/>
      <c r="M3711" s="132"/>
      <c r="N3711" s="134"/>
      <c r="O3711" s="135">
        <f>SUM(O3712)</f>
        <v>4.7300000000000004</v>
      </c>
      <c r="P3711" s="185"/>
      <c r="Q3711" s="185"/>
    </row>
    <row r="3712" spans="1:17" hidden="1" outlineLevel="1">
      <c r="E3712" s="20"/>
      <c r="F3712" s="120"/>
      <c r="G3712" s="136"/>
      <c r="H3712" s="118"/>
      <c r="I3712" s="137"/>
      <c r="J3712" s="143"/>
      <c r="K3712" s="138"/>
      <c r="L3712" s="134"/>
      <c r="M3712" s="138"/>
      <c r="N3712" s="134">
        <v>4.7300000000000004</v>
      </c>
      <c r="O3712" s="139">
        <f>ROUND(PRODUCT(J3712:N3712),2)</f>
        <v>4.7300000000000004</v>
      </c>
      <c r="P3712" s="185"/>
      <c r="Q3712" s="185"/>
    </row>
    <row r="3713" spans="1:17" ht="30" hidden="1" outlineLevel="1">
      <c r="E3713" s="20"/>
      <c r="F3713" s="120" t="s">
        <v>4633</v>
      </c>
      <c r="G3713" s="113">
        <v>91601</v>
      </c>
      <c r="H3713" s="114" t="s">
        <v>4634</v>
      </c>
      <c r="I3713" s="115" t="s">
        <v>80</v>
      </c>
      <c r="J3713" s="131"/>
      <c r="K3713" s="132"/>
      <c r="L3713" s="133"/>
      <c r="M3713" s="132"/>
      <c r="N3713" s="134"/>
      <c r="O3713" s="135">
        <f>SUM(O3714)</f>
        <v>321.18</v>
      </c>
      <c r="P3713" s="185"/>
      <c r="Q3713" s="185"/>
    </row>
    <row r="3714" spans="1:17" hidden="1" outlineLevel="1">
      <c r="E3714" s="20"/>
      <c r="F3714" s="120"/>
      <c r="G3714" s="136"/>
      <c r="H3714" s="118"/>
      <c r="I3714" s="137"/>
      <c r="J3714" s="143"/>
      <c r="K3714" s="138"/>
      <c r="L3714" s="134"/>
      <c r="M3714" s="138"/>
      <c r="N3714" s="134">
        <v>321.18</v>
      </c>
      <c r="O3714" s="139">
        <f>ROUND(PRODUCT(J3714:N3714),2)</f>
        <v>321.18</v>
      </c>
      <c r="P3714" s="185"/>
      <c r="Q3714" s="185"/>
    </row>
    <row r="3715" spans="1:17" ht="30" hidden="1" outlineLevel="1">
      <c r="E3715" s="20"/>
      <c r="F3715" s="120" t="s">
        <v>4635</v>
      </c>
      <c r="G3715" s="113">
        <v>91602</v>
      </c>
      <c r="H3715" s="114" t="s">
        <v>4636</v>
      </c>
      <c r="I3715" s="115" t="s">
        <v>80</v>
      </c>
      <c r="J3715" s="131"/>
      <c r="K3715" s="132"/>
      <c r="L3715" s="133"/>
      <c r="M3715" s="132"/>
      <c r="N3715" s="134"/>
      <c r="O3715" s="135">
        <f>SUM(O3716)</f>
        <v>717.55</v>
      </c>
      <c r="P3715" s="185"/>
      <c r="Q3715" s="185"/>
    </row>
    <row r="3716" spans="1:17" hidden="1" outlineLevel="1">
      <c r="E3716" s="20"/>
      <c r="F3716" s="120"/>
      <c r="G3716" s="136"/>
      <c r="H3716" s="118"/>
      <c r="I3716" s="137"/>
      <c r="J3716" s="143"/>
      <c r="K3716" s="138"/>
      <c r="L3716" s="134"/>
      <c r="M3716" s="138"/>
      <c r="N3716" s="134">
        <v>717.55</v>
      </c>
      <c r="O3716" s="139">
        <f>ROUND(PRODUCT(J3716:N3716),2)</f>
        <v>717.55</v>
      </c>
      <c r="P3716" s="185"/>
      <c r="Q3716" s="185"/>
    </row>
    <row r="3717" spans="1:17" ht="30" hidden="1" outlineLevel="1">
      <c r="E3717" s="20"/>
      <c r="F3717" s="120" t="s">
        <v>4637</v>
      </c>
      <c r="G3717" s="113">
        <v>91603</v>
      </c>
      <c r="H3717" s="114" t="s">
        <v>4638</v>
      </c>
      <c r="I3717" s="115" t="s">
        <v>80</v>
      </c>
      <c r="J3717" s="131"/>
      <c r="K3717" s="132"/>
      <c r="L3717" s="133"/>
      <c r="M3717" s="132"/>
      <c r="N3717" s="134"/>
      <c r="O3717" s="135">
        <f>SUM(O3718)</f>
        <v>258</v>
      </c>
      <c r="P3717" s="185"/>
      <c r="Q3717" s="185"/>
    </row>
    <row r="3718" spans="1:17" hidden="1" outlineLevel="1">
      <c r="E3718" s="20"/>
      <c r="F3718" s="120"/>
      <c r="G3718" s="136"/>
      <c r="H3718" s="118"/>
      <c r="I3718" s="137"/>
      <c r="J3718" s="143"/>
      <c r="K3718" s="138"/>
      <c r="L3718" s="134"/>
      <c r="M3718" s="138"/>
      <c r="N3718" s="134">
        <v>258</v>
      </c>
      <c r="O3718" s="139">
        <f>ROUND(PRODUCT(J3718:N3718),2)</f>
        <v>258</v>
      </c>
      <c r="P3718" s="185"/>
      <c r="Q3718" s="185"/>
    </row>
    <row r="3719" spans="1:17" ht="30" hidden="1" outlineLevel="1">
      <c r="E3719" s="20"/>
      <c r="F3719" s="120" t="s">
        <v>4639</v>
      </c>
      <c r="G3719" s="113">
        <v>100067</v>
      </c>
      <c r="H3719" s="114" t="s">
        <v>1430</v>
      </c>
      <c r="I3719" s="115" t="s">
        <v>80</v>
      </c>
      <c r="J3719" s="131"/>
      <c r="K3719" s="132"/>
      <c r="L3719" s="133"/>
      <c r="M3719" s="132"/>
      <c r="N3719" s="134"/>
      <c r="O3719" s="135">
        <f>SUM(O3720)</f>
        <v>53</v>
      </c>
      <c r="P3719" s="185"/>
      <c r="Q3719" s="185"/>
    </row>
    <row r="3720" spans="1:17" hidden="1" outlineLevel="1">
      <c r="E3720" s="20"/>
      <c r="F3720" s="120"/>
      <c r="G3720" s="136"/>
      <c r="H3720" s="118"/>
      <c r="I3720" s="137"/>
      <c r="J3720" s="143"/>
      <c r="K3720" s="138"/>
      <c r="L3720" s="134"/>
      <c r="M3720" s="138"/>
      <c r="N3720" s="134">
        <v>53</v>
      </c>
      <c r="O3720" s="139">
        <f>ROUND(PRODUCT(J3720:N3720),2)</f>
        <v>53</v>
      </c>
      <c r="P3720" s="185"/>
      <c r="Q3720" s="185"/>
    </row>
    <row r="3721" spans="1:17" ht="45" hidden="1" outlineLevel="1">
      <c r="E3721" s="20"/>
      <c r="F3721" s="120" t="s">
        <v>4640</v>
      </c>
      <c r="G3721" s="113">
        <v>102006</v>
      </c>
      <c r="H3721" s="114" t="s">
        <v>2155</v>
      </c>
      <c r="I3721" s="115" t="s">
        <v>45</v>
      </c>
      <c r="J3721" s="131"/>
      <c r="K3721" s="132"/>
      <c r="L3721" s="133"/>
      <c r="M3721" s="132"/>
      <c r="N3721" s="134"/>
      <c r="O3721" s="135">
        <f>SUM(O3722)</f>
        <v>8.1</v>
      </c>
      <c r="P3721" s="185"/>
      <c r="Q3721" s="185"/>
    </row>
    <row r="3722" spans="1:17" hidden="1" outlineLevel="1">
      <c r="E3722" s="20"/>
      <c r="F3722" s="120"/>
      <c r="G3722" s="136"/>
      <c r="H3722" s="118"/>
      <c r="I3722" s="137"/>
      <c r="J3722" s="143"/>
      <c r="K3722" s="138"/>
      <c r="L3722" s="134"/>
      <c r="M3722" s="140"/>
      <c r="N3722" s="134">
        <v>8.1</v>
      </c>
      <c r="O3722" s="139">
        <f>ROUND(PRODUCT(J3722:N3722),2)</f>
        <v>8.1</v>
      </c>
      <c r="P3722" s="185"/>
      <c r="Q3722" s="185"/>
    </row>
    <row r="3723" spans="1:17" ht="30" hidden="1" outlineLevel="1">
      <c r="E3723" s="20"/>
      <c r="F3723" s="120" t="s">
        <v>4641</v>
      </c>
      <c r="G3723" s="113">
        <v>104918</v>
      </c>
      <c r="H3723" s="114" t="s">
        <v>2012</v>
      </c>
      <c r="I3723" s="115" t="s">
        <v>80</v>
      </c>
      <c r="J3723" s="131"/>
      <c r="K3723" s="132"/>
      <c r="L3723" s="133"/>
      <c r="M3723" s="142"/>
      <c r="N3723" s="134"/>
      <c r="O3723" s="135">
        <f>SUM(O3724:O3731)</f>
        <v>196.65</v>
      </c>
      <c r="P3723" s="185"/>
      <c r="Q3723" s="185"/>
    </row>
    <row r="3724" spans="1:17" hidden="1" outlineLevel="1">
      <c r="A3724" s="2">
        <v>9</v>
      </c>
      <c r="B3724" s="2">
        <v>1</v>
      </c>
      <c r="C3724" s="2">
        <f>1+C3705</f>
        <v>6</v>
      </c>
      <c r="E3724" s="20" t="str">
        <f>CONCATENATE(A3724,".",B3724,".",C3724)</f>
        <v>9.1.6</v>
      </c>
      <c r="F3724" s="120"/>
      <c r="G3724" s="136"/>
      <c r="H3724" s="118" t="s">
        <v>4642</v>
      </c>
      <c r="I3724" s="137"/>
      <c r="J3724" s="143"/>
      <c r="K3724" s="138"/>
      <c r="L3724" s="134"/>
      <c r="M3724" s="140"/>
      <c r="N3724" s="134">
        <v>21</v>
      </c>
      <c r="O3724" s="139">
        <f t="shared" ref="O3724:O3731" si="87">ROUND(PRODUCT(J3724:N3724),2)</f>
        <v>21</v>
      </c>
      <c r="P3724" s="185"/>
      <c r="Q3724" s="185"/>
    </row>
    <row r="3725" spans="1:17" hidden="1" outlineLevel="1">
      <c r="E3725" s="20"/>
      <c r="F3725" s="120"/>
      <c r="G3725" s="136"/>
      <c r="H3725" s="118" t="s">
        <v>4643</v>
      </c>
      <c r="I3725" s="137"/>
      <c r="J3725" s="143"/>
      <c r="K3725" s="138"/>
      <c r="L3725" s="134"/>
      <c r="M3725" s="140"/>
      <c r="N3725" s="134">
        <v>33.549999999999997</v>
      </c>
      <c r="O3725" s="139">
        <f t="shared" si="87"/>
        <v>33.549999999999997</v>
      </c>
      <c r="P3725" s="185"/>
      <c r="Q3725" s="185"/>
    </row>
    <row r="3726" spans="1:17" hidden="1" outlineLevel="1">
      <c r="E3726" s="20"/>
      <c r="F3726" s="120"/>
      <c r="G3726" s="136"/>
      <c r="H3726" s="118" t="s">
        <v>4644</v>
      </c>
      <c r="I3726" s="137"/>
      <c r="J3726" s="143"/>
      <c r="K3726" s="138"/>
      <c r="L3726" s="134"/>
      <c r="M3726" s="140"/>
      <c r="N3726" s="134">
        <v>41.27</v>
      </c>
      <c r="O3726" s="139">
        <f t="shared" si="87"/>
        <v>41.27</v>
      </c>
      <c r="P3726" s="185"/>
      <c r="Q3726" s="185"/>
    </row>
    <row r="3727" spans="1:17" hidden="1" outlineLevel="1">
      <c r="E3727" s="20"/>
      <c r="F3727" s="120"/>
      <c r="G3727" s="136"/>
      <c r="H3727" s="118" t="s">
        <v>4622</v>
      </c>
      <c r="I3727" s="137"/>
      <c r="J3727" s="143"/>
      <c r="K3727" s="138"/>
      <c r="L3727" s="134"/>
      <c r="M3727" s="140"/>
      <c r="N3727" s="134">
        <v>48.82</v>
      </c>
      <c r="O3727" s="139">
        <f t="shared" si="87"/>
        <v>48.82</v>
      </c>
      <c r="P3727" s="185"/>
      <c r="Q3727" s="185"/>
    </row>
    <row r="3728" spans="1:17" hidden="1" outlineLevel="1">
      <c r="E3728" s="20"/>
      <c r="F3728" s="120"/>
      <c r="G3728" s="136"/>
      <c r="H3728" s="118" t="s">
        <v>4645</v>
      </c>
      <c r="I3728" s="137"/>
      <c r="J3728" s="143"/>
      <c r="K3728" s="138"/>
      <c r="L3728" s="134"/>
      <c r="M3728" s="140"/>
      <c r="N3728" s="134">
        <v>13.09</v>
      </c>
      <c r="O3728" s="139">
        <f t="shared" si="87"/>
        <v>13.09</v>
      </c>
      <c r="P3728" s="185"/>
      <c r="Q3728" s="185"/>
    </row>
    <row r="3729" spans="1:17" hidden="1" outlineLevel="1">
      <c r="E3729" s="20"/>
      <c r="F3729" s="120"/>
      <c r="G3729" s="136"/>
      <c r="H3729" s="118" t="s">
        <v>4646</v>
      </c>
      <c r="I3729" s="137"/>
      <c r="J3729" s="143"/>
      <c r="K3729" s="138"/>
      <c r="L3729" s="134"/>
      <c r="M3729" s="140"/>
      <c r="N3729" s="134">
        <v>18.64</v>
      </c>
      <c r="O3729" s="139">
        <f t="shared" si="87"/>
        <v>18.64</v>
      </c>
      <c r="P3729" s="185"/>
      <c r="Q3729" s="185"/>
    </row>
    <row r="3730" spans="1:17" hidden="1" outlineLevel="1">
      <c r="E3730" s="20"/>
      <c r="F3730" s="120"/>
      <c r="G3730" s="136"/>
      <c r="H3730" s="118" t="s">
        <v>4647</v>
      </c>
      <c r="I3730" s="137"/>
      <c r="J3730" s="143"/>
      <c r="K3730" s="138"/>
      <c r="L3730" s="134"/>
      <c r="M3730" s="140"/>
      <c r="N3730" s="134">
        <v>14</v>
      </c>
      <c r="O3730" s="139">
        <f t="shared" si="87"/>
        <v>14</v>
      </c>
      <c r="P3730" s="185"/>
      <c r="Q3730" s="185"/>
    </row>
    <row r="3731" spans="1:17" hidden="1" outlineLevel="1">
      <c r="E3731" s="20"/>
      <c r="F3731" s="120"/>
      <c r="G3731" s="136"/>
      <c r="H3731" s="118" t="s">
        <v>4648</v>
      </c>
      <c r="I3731" s="137"/>
      <c r="J3731" s="143"/>
      <c r="K3731" s="138"/>
      <c r="L3731" s="134"/>
      <c r="M3731" s="140"/>
      <c r="N3731" s="134">
        <v>6.28</v>
      </c>
      <c r="O3731" s="139">
        <f t="shared" si="87"/>
        <v>6.28</v>
      </c>
      <c r="P3731" s="185"/>
      <c r="Q3731" s="185"/>
    </row>
    <row r="3732" spans="1:17" ht="30" hidden="1" outlineLevel="1">
      <c r="E3732" s="20"/>
      <c r="F3732" s="120" t="s">
        <v>4649</v>
      </c>
      <c r="G3732" s="113" t="s">
        <v>2014</v>
      </c>
      <c r="H3732" s="114" t="s">
        <v>2015</v>
      </c>
      <c r="I3732" s="115" t="s">
        <v>126</v>
      </c>
      <c r="J3732" s="131"/>
      <c r="K3732" s="132"/>
      <c r="L3732" s="133"/>
      <c r="M3732" s="132"/>
      <c r="N3732" s="134"/>
      <c r="O3732" s="135">
        <f>SUM(O3733:O3734)</f>
        <v>24.700000000000003</v>
      </c>
      <c r="P3732" s="185"/>
      <c r="Q3732" s="185"/>
    </row>
    <row r="3733" spans="1:17" hidden="1" outlineLevel="1">
      <c r="E3733" s="20"/>
      <c r="F3733" s="120"/>
      <c r="G3733" s="136"/>
      <c r="H3733" s="118" t="s">
        <v>2842</v>
      </c>
      <c r="I3733" s="137"/>
      <c r="J3733" s="131"/>
      <c r="K3733" s="138"/>
      <c r="L3733" s="134"/>
      <c r="M3733" s="138"/>
      <c r="N3733" s="134">
        <f>O3651+O3656</f>
        <v>31.1</v>
      </c>
      <c r="O3733" s="139">
        <f>ROUND(PRODUCT(J3733:N3733),2)</f>
        <v>31.1</v>
      </c>
      <c r="P3733" s="185"/>
      <c r="Q3733" s="185"/>
    </row>
    <row r="3734" spans="1:17" hidden="1" outlineLevel="1">
      <c r="E3734" s="20"/>
      <c r="F3734" s="120"/>
      <c r="G3734" s="136"/>
      <c r="H3734" s="118" t="s">
        <v>2843</v>
      </c>
      <c r="I3734" s="137"/>
      <c r="J3734" s="143">
        <v>-1</v>
      </c>
      <c r="K3734" s="143"/>
      <c r="L3734" s="143"/>
      <c r="M3734" s="143"/>
      <c r="N3734" s="134">
        <f>O3665+O3735</f>
        <v>6.4</v>
      </c>
      <c r="O3734" s="144">
        <f>ROUND(PRODUCT(J3734:N3734),2)</f>
        <v>-6.4</v>
      </c>
      <c r="P3734" s="185"/>
      <c r="Q3734" s="185"/>
    </row>
    <row r="3735" spans="1:17" ht="30" hidden="1" outlineLevel="1">
      <c r="E3735" s="20"/>
      <c r="F3735" s="120" t="s">
        <v>4650</v>
      </c>
      <c r="G3735" s="113">
        <v>96558</v>
      </c>
      <c r="H3735" s="114" t="s">
        <v>2018</v>
      </c>
      <c r="I3735" s="115" t="s">
        <v>276</v>
      </c>
      <c r="J3735" s="131"/>
      <c r="K3735" s="132"/>
      <c r="L3735" s="133"/>
      <c r="M3735" s="132"/>
      <c r="N3735" s="134"/>
      <c r="O3735" s="135">
        <f>SUM(O3736:O3739)</f>
        <v>2.9</v>
      </c>
      <c r="P3735" s="185"/>
      <c r="Q3735" s="185"/>
    </row>
    <row r="3736" spans="1:17" hidden="1" outlineLevel="1">
      <c r="E3736" s="20"/>
      <c r="F3736" s="120"/>
      <c r="G3736" s="136"/>
      <c r="H3736" s="118" t="s">
        <v>4606</v>
      </c>
      <c r="I3736" s="137"/>
      <c r="J3736" s="131"/>
      <c r="K3736" s="138"/>
      <c r="L3736" s="134"/>
      <c r="M3736" s="138"/>
      <c r="N3736" s="134">
        <v>0.6</v>
      </c>
      <c r="O3736" s="139">
        <f>ROUND(PRODUCT(J3736:N3736),2)</f>
        <v>0.6</v>
      </c>
      <c r="P3736" s="185"/>
      <c r="Q3736" s="185"/>
    </row>
    <row r="3737" spans="1:17" hidden="1" outlineLevel="1">
      <c r="E3737" s="20"/>
      <c r="F3737" s="120"/>
      <c r="G3737" s="136"/>
      <c r="H3737" s="118" t="s">
        <v>4450</v>
      </c>
      <c r="I3737" s="137"/>
      <c r="J3737" s="131"/>
      <c r="K3737" s="138"/>
      <c r="L3737" s="134"/>
      <c r="M3737" s="138"/>
      <c r="N3737" s="134">
        <v>1.5</v>
      </c>
      <c r="O3737" s="139">
        <f>ROUND(PRODUCT(J3737:N3737),2)</f>
        <v>1.5</v>
      </c>
      <c r="P3737" s="185"/>
      <c r="Q3737" s="185"/>
    </row>
    <row r="3738" spans="1:17" hidden="1" outlineLevel="1">
      <c r="E3738" s="20"/>
      <c r="F3738" s="120"/>
      <c r="G3738" s="136"/>
      <c r="H3738" s="118" t="s">
        <v>3621</v>
      </c>
      <c r="I3738" s="137"/>
      <c r="J3738" s="131"/>
      <c r="K3738" s="138"/>
      <c r="L3738" s="134"/>
      <c r="M3738" s="138"/>
      <c r="N3738" s="134">
        <v>0.4</v>
      </c>
      <c r="O3738" s="139">
        <f>ROUND(PRODUCT(J3738:N3738),2)</f>
        <v>0.4</v>
      </c>
      <c r="P3738" s="185"/>
      <c r="Q3738" s="185"/>
    </row>
    <row r="3739" spans="1:17" hidden="1" outlineLevel="1">
      <c r="E3739" s="20"/>
      <c r="F3739" s="120"/>
      <c r="G3739" s="136"/>
      <c r="H3739" s="118" t="s">
        <v>1226</v>
      </c>
      <c r="I3739" s="137"/>
      <c r="J3739" s="131"/>
      <c r="K3739" s="138"/>
      <c r="L3739" s="134"/>
      <c r="M3739" s="138"/>
      <c r="N3739" s="134">
        <v>0.4</v>
      </c>
      <c r="O3739" s="139">
        <f>ROUND(PRODUCT(J3739:N3739),2)</f>
        <v>0.4</v>
      </c>
      <c r="P3739" s="185"/>
      <c r="Q3739" s="185"/>
    </row>
    <row r="3740" spans="1:17" ht="45" hidden="1" outlineLevel="1">
      <c r="A3740" s="2">
        <v>9</v>
      </c>
      <c r="B3740" s="2">
        <v>1</v>
      </c>
      <c r="C3740" s="2">
        <f>1+C3724</f>
        <v>7</v>
      </c>
      <c r="E3740" s="20" t="str">
        <f>CONCATENATE(A3740,".",B3740,".",C3740)</f>
        <v>9.1.7</v>
      </c>
      <c r="F3740" s="120" t="s">
        <v>4651</v>
      </c>
      <c r="G3740" s="113">
        <v>604</v>
      </c>
      <c r="H3740" s="114" t="s">
        <v>2846</v>
      </c>
      <c r="I3740" s="115" t="s">
        <v>276</v>
      </c>
      <c r="J3740" s="131"/>
      <c r="K3740" s="132"/>
      <c r="L3740" s="133"/>
      <c r="M3740" s="132"/>
      <c r="N3740" s="134"/>
      <c r="O3740" s="135">
        <f>SUM(O3741:O3745)</f>
        <v>3.3</v>
      </c>
      <c r="P3740" s="185"/>
      <c r="Q3740" s="185"/>
    </row>
    <row r="3741" spans="1:17" hidden="1" outlineLevel="1">
      <c r="E3741" s="20"/>
      <c r="F3741" s="120"/>
      <c r="G3741" s="136"/>
      <c r="H3741" s="118" t="s">
        <v>4606</v>
      </c>
      <c r="I3741" s="137"/>
      <c r="J3741" s="131"/>
      <c r="K3741" s="138"/>
      <c r="L3741" s="134"/>
      <c r="M3741" s="138"/>
      <c r="N3741" s="134">
        <v>0.3</v>
      </c>
      <c r="O3741" s="139">
        <f>ROUND(PRODUCT(J3741:N3741),2)</f>
        <v>0.3</v>
      </c>
      <c r="P3741" s="185"/>
      <c r="Q3741" s="185"/>
    </row>
    <row r="3742" spans="1:17" hidden="1" outlineLevel="1">
      <c r="E3742" s="20"/>
      <c r="F3742" s="120"/>
      <c r="G3742" s="136"/>
      <c r="H3742" s="118" t="s">
        <v>4450</v>
      </c>
      <c r="I3742" s="137"/>
      <c r="J3742" s="131"/>
      <c r="K3742" s="138"/>
      <c r="L3742" s="134"/>
      <c r="M3742" s="138"/>
      <c r="N3742" s="134">
        <v>1.5</v>
      </c>
      <c r="O3742" s="139">
        <f>ROUND(PRODUCT(J3742:N3742),2)</f>
        <v>1.5</v>
      </c>
      <c r="P3742" s="185"/>
      <c r="Q3742" s="185"/>
    </row>
    <row r="3743" spans="1:17" hidden="1" outlineLevel="1">
      <c r="E3743" s="20"/>
      <c r="F3743" s="120"/>
      <c r="G3743" s="136"/>
      <c r="H3743" s="118" t="s">
        <v>3621</v>
      </c>
      <c r="I3743" s="137"/>
      <c r="J3743" s="131"/>
      <c r="K3743" s="138"/>
      <c r="L3743" s="134"/>
      <c r="M3743" s="138"/>
      <c r="N3743" s="134">
        <v>0.2</v>
      </c>
      <c r="O3743" s="139">
        <f>ROUND(PRODUCT(J3743:N3743),2)</f>
        <v>0.2</v>
      </c>
      <c r="P3743" s="185"/>
      <c r="Q3743" s="185"/>
    </row>
    <row r="3744" spans="1:17" hidden="1" outlineLevel="1">
      <c r="E3744" s="20"/>
      <c r="F3744" s="120"/>
      <c r="G3744" s="136"/>
      <c r="H3744" s="118" t="s">
        <v>1226</v>
      </c>
      <c r="I3744" s="137"/>
      <c r="J3744" s="131"/>
      <c r="K3744" s="138"/>
      <c r="L3744" s="134"/>
      <c r="M3744" s="138"/>
      <c r="N3744" s="134">
        <v>0.3</v>
      </c>
      <c r="O3744" s="139">
        <f>ROUND(PRODUCT(J3744:N3744),2)</f>
        <v>0.3</v>
      </c>
      <c r="P3744" s="185"/>
      <c r="Q3744" s="185"/>
    </row>
    <row r="3745" spans="1:17" hidden="1" outlineLevel="1">
      <c r="E3745" s="20"/>
      <c r="F3745" s="120"/>
      <c r="G3745" s="136"/>
      <c r="H3745" s="118" t="s">
        <v>4652</v>
      </c>
      <c r="I3745" s="137"/>
      <c r="J3745" s="131"/>
      <c r="K3745" s="138"/>
      <c r="L3745" s="134"/>
      <c r="M3745" s="138"/>
      <c r="N3745" s="134">
        <v>1</v>
      </c>
      <c r="O3745" s="139">
        <f>ROUND(PRODUCT(J3745:N3745),2)</f>
        <v>1</v>
      </c>
      <c r="P3745" s="185"/>
      <c r="Q3745" s="185"/>
    </row>
    <row r="3746" spans="1:17" hidden="1" outlineLevel="1">
      <c r="E3746" s="20"/>
      <c r="F3746" s="120" t="s">
        <v>4653</v>
      </c>
      <c r="G3746" s="113">
        <v>4805757</v>
      </c>
      <c r="H3746" s="114" t="s">
        <v>2162</v>
      </c>
      <c r="I3746" s="115" t="s">
        <v>2815</v>
      </c>
      <c r="J3746" s="131"/>
      <c r="K3746" s="132"/>
      <c r="L3746" s="133"/>
      <c r="M3746" s="132"/>
      <c r="N3746" s="134"/>
      <c r="O3746" s="135">
        <f>SUM(O3747)</f>
        <v>38.68</v>
      </c>
      <c r="P3746" s="185"/>
      <c r="Q3746" s="185"/>
    </row>
    <row r="3747" spans="1:17" hidden="1" outlineLevel="1">
      <c r="E3747" s="20"/>
      <c r="F3747" s="21"/>
      <c r="G3747" s="22"/>
      <c r="H3747" s="23"/>
      <c r="I3747" s="24"/>
      <c r="J3747" s="46"/>
      <c r="K3747" s="10"/>
      <c r="L3747" s="32"/>
      <c r="M3747" s="47"/>
      <c r="N3747" s="134">
        <v>38.68</v>
      </c>
      <c r="O3747" s="139">
        <f>ROUND(PRODUCT(J3747:N3747),2)</f>
        <v>38.68</v>
      </c>
      <c r="P3747" s="185"/>
      <c r="Q3747" s="185"/>
    </row>
    <row r="3748" spans="1:17" hidden="1" outlineLevel="1">
      <c r="E3748" s="20"/>
      <c r="F3748" s="120" t="s">
        <v>4654</v>
      </c>
      <c r="G3748" s="113">
        <v>5502993</v>
      </c>
      <c r="H3748" s="114" t="s">
        <v>4655</v>
      </c>
      <c r="I3748" s="115" t="s">
        <v>2815</v>
      </c>
      <c r="J3748" s="131"/>
      <c r="K3748" s="132"/>
      <c r="L3748" s="133"/>
      <c r="M3748" s="132"/>
      <c r="N3748" s="134"/>
      <c r="O3748" s="135">
        <f>SUM(O3749)</f>
        <v>70.61</v>
      </c>
      <c r="P3748" s="185"/>
      <c r="Q3748" s="185"/>
    </row>
    <row r="3749" spans="1:17" hidden="1" outlineLevel="1">
      <c r="E3749" s="20"/>
      <c r="F3749" s="21"/>
      <c r="G3749" s="22"/>
      <c r="H3749" s="23"/>
      <c r="I3749" s="24"/>
      <c r="J3749" s="46"/>
      <c r="K3749" s="10"/>
      <c r="L3749" s="32"/>
      <c r="M3749" s="47"/>
      <c r="N3749" s="33">
        <v>70.608000000000004</v>
      </c>
      <c r="O3749" s="139">
        <f>ROUND(PRODUCT(J3749:N3749),2)</f>
        <v>70.61</v>
      </c>
      <c r="P3749" s="185"/>
      <c r="Q3749" s="185"/>
    </row>
    <row r="3750" spans="1:17" ht="30" hidden="1" outlineLevel="1">
      <c r="E3750" s="20"/>
      <c r="F3750" s="120" t="s">
        <v>4656</v>
      </c>
      <c r="G3750" s="113">
        <v>1116266</v>
      </c>
      <c r="H3750" s="114" t="s">
        <v>4657</v>
      </c>
      <c r="I3750" s="115" t="s">
        <v>2815</v>
      </c>
      <c r="J3750" s="131"/>
      <c r="K3750" s="132"/>
      <c r="L3750" s="133"/>
      <c r="M3750" s="132"/>
      <c r="N3750" s="134"/>
      <c r="O3750" s="135">
        <f>SUM(O3751)</f>
        <v>14.7</v>
      </c>
      <c r="P3750" s="185"/>
      <c r="Q3750" s="185"/>
    </row>
    <row r="3751" spans="1:17" hidden="1" outlineLevel="1">
      <c r="E3751" s="20"/>
      <c r="F3751" s="21"/>
      <c r="G3751" s="22"/>
      <c r="H3751" s="23"/>
      <c r="I3751" s="24"/>
      <c r="J3751" s="46"/>
      <c r="K3751" s="10"/>
      <c r="L3751" s="32"/>
      <c r="M3751" s="47"/>
      <c r="N3751" s="33">
        <v>14.7</v>
      </c>
      <c r="O3751" s="139">
        <f>ROUND(PRODUCT(J3751:N3751),2)</f>
        <v>14.7</v>
      </c>
      <c r="P3751" s="185"/>
      <c r="Q3751" s="185"/>
    </row>
    <row r="3752" spans="1:17" ht="45" hidden="1" outlineLevel="1">
      <c r="E3752" s="20"/>
      <c r="F3752" s="120" t="s">
        <v>4658</v>
      </c>
      <c r="G3752" s="113">
        <v>101166</v>
      </c>
      <c r="H3752" s="114" t="s">
        <v>1721</v>
      </c>
      <c r="I3752" s="115" t="s">
        <v>2815</v>
      </c>
      <c r="J3752" s="131"/>
      <c r="K3752" s="132"/>
      <c r="L3752" s="133"/>
      <c r="M3752" s="132"/>
      <c r="N3752" s="134"/>
      <c r="O3752" s="135">
        <f>SUM(O3753)</f>
        <v>29.34</v>
      </c>
      <c r="P3752" s="185"/>
      <c r="Q3752" s="185"/>
    </row>
    <row r="3753" spans="1:17" hidden="1" outlineLevel="1">
      <c r="E3753" s="20"/>
      <c r="F3753" s="21"/>
      <c r="G3753" s="22"/>
      <c r="H3753" s="118" t="s">
        <v>4450</v>
      </c>
      <c r="I3753" s="24"/>
      <c r="J3753" s="46"/>
      <c r="K3753" s="10"/>
      <c r="L3753" s="32"/>
      <c r="M3753" s="47"/>
      <c r="N3753" s="33">
        <v>29.34</v>
      </c>
      <c r="O3753" s="139">
        <f>ROUND(PRODUCT(J3753:N3753),2)</f>
        <v>29.34</v>
      </c>
      <c r="P3753" s="185"/>
      <c r="Q3753" s="185"/>
    </row>
    <row r="3754" spans="1:17" collapsed="1">
      <c r="A3754" s="2">
        <v>9</v>
      </c>
      <c r="B3754" s="2">
        <v>2</v>
      </c>
      <c r="E3754" s="42" t="str">
        <f>CONCATENATE(A3754,".",B3754)</f>
        <v>9.2</v>
      </c>
      <c r="F3754" s="45" t="s">
        <v>4659</v>
      </c>
      <c r="G3754" s="13"/>
      <c r="H3754" s="14" t="s">
        <v>76</v>
      </c>
      <c r="I3754" s="15"/>
      <c r="J3754" s="16"/>
      <c r="K3754" s="17"/>
      <c r="L3754" s="16"/>
      <c r="M3754" s="17"/>
      <c r="N3754" s="18"/>
      <c r="O3754" s="19"/>
      <c r="P3754" s="185"/>
      <c r="Q3754" s="185"/>
    </row>
    <row r="3755" spans="1:17" ht="30" hidden="1" outlineLevel="1">
      <c r="A3755" s="2">
        <v>9</v>
      </c>
      <c r="B3755" s="2">
        <v>2</v>
      </c>
      <c r="C3755" s="2">
        <v>1</v>
      </c>
      <c r="E3755" s="20" t="str">
        <f>CONCATENATE(A3755,".",B3755,".",C3755)</f>
        <v>9.2.1</v>
      </c>
      <c r="F3755" s="120" t="s">
        <v>4660</v>
      </c>
      <c r="G3755" s="113" t="s">
        <v>78</v>
      </c>
      <c r="H3755" s="114" t="s">
        <v>79</v>
      </c>
      <c r="I3755" s="115" t="s">
        <v>80</v>
      </c>
      <c r="J3755" s="131"/>
      <c r="K3755" s="132"/>
      <c r="L3755" s="133"/>
      <c r="M3755" s="132"/>
      <c r="N3755" s="134"/>
      <c r="O3755" s="135">
        <f>SUM(O3756:O3763)</f>
        <v>73.27000000000001</v>
      </c>
      <c r="P3755" s="185"/>
      <c r="Q3755" s="185"/>
    </row>
    <row r="3756" spans="1:17" hidden="1" outlineLevel="1">
      <c r="E3756" s="20"/>
      <c r="F3756" s="120"/>
      <c r="G3756" s="136"/>
      <c r="H3756" s="118" t="s">
        <v>4661</v>
      </c>
      <c r="I3756" s="137"/>
      <c r="J3756" s="146"/>
      <c r="K3756" s="138"/>
      <c r="L3756" s="134"/>
      <c r="M3756" s="140"/>
      <c r="N3756" s="134">
        <v>15.73</v>
      </c>
      <c r="O3756" s="139">
        <f t="shared" ref="O3756:O3763" si="88">ROUND(PRODUCT(J3756:N3756),2)</f>
        <v>15.73</v>
      </c>
      <c r="P3756" s="185"/>
      <c r="Q3756" s="148"/>
    </row>
    <row r="3757" spans="1:17" hidden="1" outlineLevel="1">
      <c r="E3757" s="20"/>
      <c r="F3757" s="120"/>
      <c r="G3757" s="136"/>
      <c r="H3757" s="118" t="s">
        <v>4662</v>
      </c>
      <c r="I3757" s="137"/>
      <c r="J3757" s="146"/>
      <c r="K3757" s="138"/>
      <c r="L3757" s="134"/>
      <c r="M3757" s="140"/>
      <c r="N3757" s="134">
        <v>13.45</v>
      </c>
      <c r="O3757" s="139">
        <f t="shared" si="88"/>
        <v>13.45</v>
      </c>
      <c r="P3757" s="185"/>
      <c r="Q3757" s="148"/>
    </row>
    <row r="3758" spans="1:17" hidden="1" outlineLevel="1">
      <c r="E3758" s="20"/>
      <c r="F3758" s="120"/>
      <c r="G3758" s="136"/>
      <c r="H3758" s="118" t="s">
        <v>4663</v>
      </c>
      <c r="I3758" s="137"/>
      <c r="J3758" s="146"/>
      <c r="K3758" s="138"/>
      <c r="L3758" s="134"/>
      <c r="M3758" s="140"/>
      <c r="N3758" s="134">
        <v>6</v>
      </c>
      <c r="O3758" s="139">
        <f t="shared" si="88"/>
        <v>6</v>
      </c>
      <c r="P3758" s="185"/>
      <c r="Q3758" s="148"/>
    </row>
    <row r="3759" spans="1:17" hidden="1" outlineLevel="1">
      <c r="E3759" s="20"/>
      <c r="F3759" s="120"/>
      <c r="G3759" s="136"/>
      <c r="H3759" s="118" t="s">
        <v>4664</v>
      </c>
      <c r="I3759" s="137"/>
      <c r="J3759" s="146"/>
      <c r="K3759" s="138"/>
      <c r="L3759" s="134"/>
      <c r="M3759" s="140"/>
      <c r="N3759" s="134">
        <v>9.27</v>
      </c>
      <c r="O3759" s="139">
        <f t="shared" si="88"/>
        <v>9.27</v>
      </c>
      <c r="P3759" s="185"/>
      <c r="Q3759" s="148"/>
    </row>
    <row r="3760" spans="1:17" hidden="1" outlineLevel="1">
      <c r="E3760" s="20"/>
      <c r="F3760" s="120"/>
      <c r="G3760" s="136"/>
      <c r="H3760" s="118" t="s">
        <v>4665</v>
      </c>
      <c r="I3760" s="137"/>
      <c r="J3760" s="146"/>
      <c r="K3760" s="138"/>
      <c r="L3760" s="134"/>
      <c r="M3760" s="140"/>
      <c r="N3760" s="134">
        <v>10.27</v>
      </c>
      <c r="O3760" s="139">
        <f t="shared" si="88"/>
        <v>10.27</v>
      </c>
      <c r="P3760" s="185"/>
      <c r="Q3760" s="148"/>
    </row>
    <row r="3761" spans="1:17" hidden="1" outlineLevel="1">
      <c r="E3761" s="20"/>
      <c r="F3761" s="120"/>
      <c r="G3761" s="136"/>
      <c r="H3761" s="118" t="s">
        <v>4666</v>
      </c>
      <c r="I3761" s="137"/>
      <c r="J3761" s="146"/>
      <c r="K3761" s="138"/>
      <c r="L3761" s="134"/>
      <c r="M3761" s="140"/>
      <c r="N3761" s="134">
        <v>9.4600000000000009</v>
      </c>
      <c r="O3761" s="139">
        <f t="shared" si="88"/>
        <v>9.4600000000000009</v>
      </c>
      <c r="P3761" s="185"/>
      <c r="Q3761" s="148"/>
    </row>
    <row r="3762" spans="1:17" hidden="1" outlineLevel="1">
      <c r="E3762" s="20"/>
      <c r="F3762" s="120"/>
      <c r="G3762" s="136"/>
      <c r="H3762" s="118" t="s">
        <v>4667</v>
      </c>
      <c r="I3762" s="137"/>
      <c r="J3762" s="146"/>
      <c r="K3762" s="138"/>
      <c r="L3762" s="134"/>
      <c r="M3762" s="140"/>
      <c r="N3762" s="134">
        <v>9.09</v>
      </c>
      <c r="O3762" s="139">
        <f t="shared" si="88"/>
        <v>9.09</v>
      </c>
      <c r="P3762" s="185"/>
      <c r="Q3762" s="148"/>
    </row>
    <row r="3763" spans="1:17" hidden="1" outlineLevel="1">
      <c r="E3763" s="20"/>
      <c r="F3763" s="120"/>
      <c r="G3763" s="136"/>
      <c r="H3763" s="118" t="s">
        <v>4668</v>
      </c>
      <c r="I3763" s="137"/>
      <c r="J3763" s="146"/>
      <c r="K3763" s="138"/>
      <c r="L3763" s="134"/>
      <c r="M3763" s="140"/>
      <c r="N3763" s="134"/>
      <c r="O3763" s="139">
        <f t="shared" si="88"/>
        <v>0</v>
      </c>
      <c r="P3763" s="185"/>
      <c r="Q3763" s="148"/>
    </row>
    <row r="3764" spans="1:17" ht="30" hidden="1" outlineLevel="1">
      <c r="E3764" s="20"/>
      <c r="F3764" s="120" t="s">
        <v>4669</v>
      </c>
      <c r="G3764" s="113">
        <v>92761</v>
      </c>
      <c r="H3764" s="114" t="s">
        <v>86</v>
      </c>
      <c r="I3764" s="115" t="s">
        <v>80</v>
      </c>
      <c r="J3764" s="147"/>
      <c r="K3764" s="132"/>
      <c r="L3764" s="133"/>
      <c r="M3764" s="142"/>
      <c r="N3764" s="134"/>
      <c r="O3764" s="135">
        <f>SUM(O3765:O3767)</f>
        <v>76.36</v>
      </c>
      <c r="P3764" s="185"/>
      <c r="Q3764" s="149"/>
    </row>
    <row r="3765" spans="1:17" hidden="1" outlineLevel="1">
      <c r="E3765" s="20"/>
      <c r="F3765" s="120"/>
      <c r="G3765" s="136"/>
      <c r="H3765" s="118" t="s">
        <v>4670</v>
      </c>
      <c r="I3765" s="137"/>
      <c r="J3765" s="146"/>
      <c r="K3765" s="138"/>
      <c r="L3765" s="134"/>
      <c r="M3765" s="140"/>
      <c r="N3765" s="134">
        <v>30.18</v>
      </c>
      <c r="O3765" s="139">
        <f>ROUND(PRODUCT(J3765:N3765),2)</f>
        <v>30.18</v>
      </c>
      <c r="P3765" s="185"/>
      <c r="Q3765" s="185"/>
    </row>
    <row r="3766" spans="1:17" hidden="1" outlineLevel="1">
      <c r="E3766" s="20"/>
      <c r="F3766" s="120"/>
      <c r="G3766" s="136"/>
      <c r="H3766" s="118" t="s">
        <v>4671</v>
      </c>
      <c r="I3766" s="137"/>
      <c r="J3766" s="146"/>
      <c r="K3766" s="138"/>
      <c r="L3766" s="134"/>
      <c r="M3766" s="140"/>
      <c r="N3766" s="134">
        <v>24.18</v>
      </c>
      <c r="O3766" s="139">
        <f>ROUND(PRODUCT(J3766:N3766),2)</f>
        <v>24.18</v>
      </c>
      <c r="P3766" s="185"/>
      <c r="Q3766" s="185"/>
    </row>
    <row r="3767" spans="1:17" hidden="1" outlineLevel="1">
      <c r="E3767" s="20"/>
      <c r="F3767" s="120"/>
      <c r="G3767" s="136"/>
      <c r="H3767" s="118" t="s">
        <v>4672</v>
      </c>
      <c r="I3767" s="137"/>
      <c r="J3767" s="146"/>
      <c r="K3767" s="138"/>
      <c r="L3767" s="134"/>
      <c r="M3767" s="140"/>
      <c r="N3767" s="134">
        <v>22</v>
      </c>
      <c r="O3767" s="139">
        <f>ROUND(PRODUCT(J3767:N3767),2)</f>
        <v>22</v>
      </c>
      <c r="P3767" s="185"/>
      <c r="Q3767" s="185"/>
    </row>
    <row r="3768" spans="1:17" ht="30" hidden="1" outlineLevel="1">
      <c r="E3768" s="20"/>
      <c r="F3768" s="120" t="s">
        <v>4673</v>
      </c>
      <c r="G3768" s="113" t="s">
        <v>88</v>
      </c>
      <c r="H3768" s="114" t="s">
        <v>89</v>
      </c>
      <c r="I3768" s="115" t="s">
        <v>80</v>
      </c>
      <c r="J3768" s="147"/>
      <c r="K3768" s="132"/>
      <c r="L3768" s="133"/>
      <c r="M3768" s="142"/>
      <c r="N3768" s="134"/>
      <c r="O3768" s="135">
        <f>SUM(O3769:O3771)</f>
        <v>91.92</v>
      </c>
      <c r="P3768" s="185"/>
      <c r="Q3768" s="148"/>
    </row>
    <row r="3769" spans="1:17" hidden="1" outlineLevel="1">
      <c r="E3769" s="20"/>
      <c r="F3769" s="120"/>
      <c r="G3769" s="136"/>
      <c r="H3769" s="118" t="s">
        <v>4661</v>
      </c>
      <c r="I3769" s="137"/>
      <c r="J3769" s="146"/>
      <c r="K3769" s="138"/>
      <c r="L3769" s="134"/>
      <c r="M3769" s="140"/>
      <c r="N3769" s="134">
        <v>41.01</v>
      </c>
      <c r="O3769" s="139">
        <f>ROUND(PRODUCT(J3769:N3769),2)</f>
        <v>41.01</v>
      </c>
      <c r="P3769" s="185"/>
      <c r="Q3769" s="185"/>
    </row>
    <row r="3770" spans="1:17" hidden="1" outlineLevel="1">
      <c r="E3770" s="20"/>
      <c r="F3770" s="120"/>
      <c r="G3770" s="136"/>
      <c r="H3770" s="118" t="s">
        <v>4665</v>
      </c>
      <c r="I3770" s="137"/>
      <c r="J3770" s="146"/>
      <c r="K3770" s="138"/>
      <c r="L3770" s="134"/>
      <c r="M3770" s="140"/>
      <c r="N3770" s="134">
        <v>25.36</v>
      </c>
      <c r="O3770" s="139">
        <f>ROUND(PRODUCT(J3770:N3770),2)</f>
        <v>25.36</v>
      </c>
      <c r="P3770" s="185"/>
      <c r="Q3770" s="148"/>
    </row>
    <row r="3771" spans="1:17" hidden="1" outlineLevel="1">
      <c r="E3771" s="20"/>
      <c r="F3771" s="120"/>
      <c r="G3771" s="136"/>
      <c r="H3771" s="118" t="s">
        <v>4667</v>
      </c>
      <c r="I3771" s="137"/>
      <c r="J3771" s="146"/>
      <c r="K3771" s="138"/>
      <c r="L3771" s="134"/>
      <c r="M3771" s="140"/>
      <c r="N3771" s="134">
        <v>25.55</v>
      </c>
      <c r="O3771" s="139">
        <f>ROUND(PRODUCT(J3771:N3771),2)</f>
        <v>25.55</v>
      </c>
      <c r="P3771" s="185"/>
      <c r="Q3771" s="148"/>
    </row>
    <row r="3772" spans="1:17" ht="30" hidden="1" outlineLevel="1">
      <c r="E3772" s="20"/>
      <c r="F3772" s="120" t="s">
        <v>4674</v>
      </c>
      <c r="G3772" s="113" t="s">
        <v>91</v>
      </c>
      <c r="H3772" s="114" t="s">
        <v>92</v>
      </c>
      <c r="I3772" s="115" t="s">
        <v>80</v>
      </c>
      <c r="J3772" s="147"/>
      <c r="K3772" s="132"/>
      <c r="L3772" s="133"/>
      <c r="M3772" s="142"/>
      <c r="N3772" s="134"/>
      <c r="O3772" s="135">
        <f>SUM(O3773:O3773)</f>
        <v>30.37</v>
      </c>
      <c r="P3772" s="185"/>
      <c r="Q3772" s="185"/>
    </row>
    <row r="3773" spans="1:17" hidden="1" outlineLevel="1">
      <c r="E3773" s="20"/>
      <c r="F3773" s="120"/>
      <c r="G3773" s="136"/>
      <c r="H3773" s="118" t="s">
        <v>4663</v>
      </c>
      <c r="I3773" s="137"/>
      <c r="J3773" s="146"/>
      <c r="K3773" s="138"/>
      <c r="L3773" s="134"/>
      <c r="M3773" s="140"/>
      <c r="N3773" s="134">
        <v>30.37</v>
      </c>
      <c r="O3773" s="139">
        <f>ROUND(PRODUCT(J3773:N3773),2)</f>
        <v>30.37</v>
      </c>
      <c r="P3773" s="185"/>
      <c r="Q3773" s="148"/>
    </row>
    <row r="3774" spans="1:17" ht="30" hidden="1" outlineLevel="1">
      <c r="E3774" s="20"/>
      <c r="F3774" s="120" t="s">
        <v>4675</v>
      </c>
      <c r="G3774" s="113">
        <v>91601</v>
      </c>
      <c r="H3774" s="114" t="s">
        <v>1433</v>
      </c>
      <c r="I3774" s="115" t="s">
        <v>276</v>
      </c>
      <c r="J3774" s="147"/>
      <c r="K3774" s="132"/>
      <c r="L3774" s="133"/>
      <c r="M3774" s="142"/>
      <c r="N3774" s="134"/>
      <c r="O3774" s="135">
        <f>SUM(O3775)</f>
        <v>43.46</v>
      </c>
      <c r="P3774" s="185"/>
      <c r="Q3774" s="185"/>
    </row>
    <row r="3775" spans="1:17" hidden="1" outlineLevel="1">
      <c r="A3775" s="2">
        <v>9</v>
      </c>
      <c r="B3775" s="2">
        <v>2</v>
      </c>
      <c r="C3775" s="2" t="e">
        <f>1+#REF!</f>
        <v>#REF!</v>
      </c>
      <c r="E3775" s="20" t="e">
        <f>CONCATENATE(A3775,".",B3775,".",C3775)</f>
        <v>#REF!</v>
      </c>
      <c r="F3775" s="120"/>
      <c r="G3775" s="136"/>
      <c r="H3775" s="118"/>
      <c r="I3775" s="137"/>
      <c r="J3775" s="146"/>
      <c r="K3775" s="138"/>
      <c r="L3775" s="134"/>
      <c r="M3775" s="140"/>
      <c r="N3775" s="134">
        <v>43.46</v>
      </c>
      <c r="O3775" s="139">
        <f>ROUND(PRODUCT(J3775:N3775),2)</f>
        <v>43.46</v>
      </c>
      <c r="P3775" s="185"/>
      <c r="Q3775" s="185"/>
    </row>
    <row r="3776" spans="1:17" ht="30" hidden="1" outlineLevel="1">
      <c r="E3776" s="20"/>
      <c r="F3776" s="120" t="s">
        <v>4676</v>
      </c>
      <c r="G3776" s="113">
        <v>91602</v>
      </c>
      <c r="H3776" s="114" t="s">
        <v>1436</v>
      </c>
      <c r="I3776" s="115" t="s">
        <v>276</v>
      </c>
      <c r="J3776" s="147"/>
      <c r="K3776" s="132"/>
      <c r="L3776" s="133"/>
      <c r="M3776" s="142"/>
      <c r="N3776" s="134"/>
      <c r="O3776" s="135">
        <f>SUM(O3777)</f>
        <v>97.55</v>
      </c>
      <c r="P3776" s="185"/>
      <c r="Q3776" s="185"/>
    </row>
    <row r="3777" spans="1:17" hidden="1" outlineLevel="1">
      <c r="E3777" s="20"/>
      <c r="F3777" s="120"/>
      <c r="G3777" s="136"/>
      <c r="H3777" s="118"/>
      <c r="I3777" s="137"/>
      <c r="J3777" s="146"/>
      <c r="K3777" s="138"/>
      <c r="L3777" s="134"/>
      <c r="M3777" s="138"/>
      <c r="N3777" s="134">
        <v>97.55</v>
      </c>
      <c r="O3777" s="139">
        <f>ROUND(PRODUCT(J3777:N3777),2)</f>
        <v>97.55</v>
      </c>
      <c r="P3777" s="185"/>
      <c r="Q3777" s="185"/>
    </row>
    <row r="3778" spans="1:17" ht="30" hidden="1" outlineLevel="1">
      <c r="E3778" s="20"/>
      <c r="F3778" s="120" t="s">
        <v>4677</v>
      </c>
      <c r="G3778" s="113" t="s">
        <v>106</v>
      </c>
      <c r="H3778" s="114" t="s">
        <v>107</v>
      </c>
      <c r="I3778" s="115" t="s">
        <v>80</v>
      </c>
      <c r="J3778" s="131"/>
      <c r="K3778" s="132"/>
      <c r="L3778" s="133"/>
      <c r="M3778" s="132"/>
      <c r="N3778" s="134"/>
      <c r="O3778" s="135">
        <f>SUM(O3779:O3780)</f>
        <v>17.010000000000002</v>
      </c>
      <c r="P3778" s="185"/>
      <c r="Q3778" s="185"/>
    </row>
    <row r="3779" spans="1:17" hidden="1" outlineLevel="1">
      <c r="E3779" s="20"/>
      <c r="F3779" s="120"/>
      <c r="G3779" s="136"/>
      <c r="H3779" s="118" t="s">
        <v>4678</v>
      </c>
      <c r="I3779" s="137"/>
      <c r="J3779" s="146"/>
      <c r="K3779" s="138"/>
      <c r="L3779" s="134"/>
      <c r="M3779" s="138"/>
      <c r="N3779" s="134">
        <v>16.55</v>
      </c>
      <c r="O3779" s="139">
        <f>ROUND(PRODUCT(J3779:N3779),2)</f>
        <v>16.55</v>
      </c>
      <c r="P3779" s="185"/>
      <c r="Q3779" s="185"/>
    </row>
    <row r="3780" spans="1:17" hidden="1" outlineLevel="1">
      <c r="E3780" s="20"/>
      <c r="F3780" s="120"/>
      <c r="G3780" s="136"/>
      <c r="H3780" s="118" t="s">
        <v>4679</v>
      </c>
      <c r="I3780" s="137"/>
      <c r="J3780" s="146"/>
      <c r="K3780" s="138"/>
      <c r="L3780" s="134"/>
      <c r="M3780" s="138"/>
      <c r="N3780" s="134">
        <v>0.46</v>
      </c>
      <c r="O3780" s="139">
        <f>ROUND(PRODUCT(J3780:N3780),2)</f>
        <v>0.46</v>
      </c>
      <c r="P3780" s="185"/>
      <c r="Q3780" s="185"/>
    </row>
    <row r="3781" spans="1:17" ht="30" hidden="1" outlineLevel="1">
      <c r="E3781" s="20"/>
      <c r="F3781" s="120" t="s">
        <v>4680</v>
      </c>
      <c r="G3781" s="113" t="s">
        <v>109</v>
      </c>
      <c r="H3781" s="114" t="s">
        <v>110</v>
      </c>
      <c r="I3781" s="115" t="s">
        <v>80</v>
      </c>
      <c r="J3781" s="131"/>
      <c r="K3781" s="132"/>
      <c r="L3781" s="133"/>
      <c r="M3781" s="132"/>
      <c r="N3781" s="134"/>
      <c r="O3781" s="135">
        <f>SUM(O3782:O3783)</f>
        <v>42.64</v>
      </c>
      <c r="P3781" s="185"/>
      <c r="Q3781" s="185"/>
    </row>
    <row r="3782" spans="1:17" hidden="1" outlineLevel="1">
      <c r="E3782" s="20"/>
      <c r="F3782" s="120"/>
      <c r="G3782" s="136"/>
      <c r="H3782" s="118" t="s">
        <v>4678</v>
      </c>
      <c r="I3782" s="137"/>
      <c r="J3782" s="146"/>
      <c r="K3782" s="138"/>
      <c r="L3782" s="134"/>
      <c r="M3782" s="138"/>
      <c r="N3782" s="134">
        <v>29</v>
      </c>
      <c r="O3782" s="139">
        <f>ROUND(PRODUCT(J3782:N3782),2)</f>
        <v>29</v>
      </c>
      <c r="P3782" s="185"/>
      <c r="Q3782" s="185"/>
    </row>
    <row r="3783" spans="1:17" hidden="1" outlineLevel="1">
      <c r="E3783" s="20"/>
      <c r="F3783" s="120"/>
      <c r="G3783" s="136"/>
      <c r="H3783" s="118" t="s">
        <v>4679</v>
      </c>
      <c r="I3783" s="137"/>
      <c r="J3783" s="146"/>
      <c r="K3783" s="138"/>
      <c r="L3783" s="134"/>
      <c r="M3783" s="138"/>
      <c r="N3783" s="134">
        <v>13.64</v>
      </c>
      <c r="O3783" s="139">
        <f>ROUND(PRODUCT(J3783:N3783),2)</f>
        <v>13.64</v>
      </c>
      <c r="P3783" s="185"/>
      <c r="Q3783" s="185"/>
    </row>
    <row r="3784" spans="1:17" ht="30" hidden="1" outlineLevel="1">
      <c r="E3784" s="20"/>
      <c r="F3784" s="120" t="s">
        <v>4681</v>
      </c>
      <c r="G3784" s="113">
        <v>92768</v>
      </c>
      <c r="H3784" s="114" t="s">
        <v>119</v>
      </c>
      <c r="I3784" s="115" t="s">
        <v>80</v>
      </c>
      <c r="J3784" s="131"/>
      <c r="K3784" s="132"/>
      <c r="L3784" s="133"/>
      <c r="M3784" s="132"/>
      <c r="N3784" s="134"/>
      <c r="O3784" s="135">
        <f>SUM(O3785:O3787)</f>
        <v>35.92</v>
      </c>
      <c r="P3784" s="185"/>
      <c r="Q3784" s="185"/>
    </row>
    <row r="3785" spans="1:17" hidden="1" outlineLevel="1">
      <c r="E3785" s="20"/>
      <c r="F3785" s="120"/>
      <c r="G3785" s="136"/>
      <c r="H3785" s="118" t="s">
        <v>4682</v>
      </c>
      <c r="I3785" s="137"/>
      <c r="J3785" s="146"/>
      <c r="K3785" s="138"/>
      <c r="L3785" s="134"/>
      <c r="M3785" s="138"/>
      <c r="N3785" s="134">
        <v>13.73</v>
      </c>
      <c r="O3785" s="139">
        <f>ROUND(PRODUCT(J3785:N3785),2)</f>
        <v>13.73</v>
      </c>
      <c r="P3785" s="185"/>
      <c r="Q3785" s="185"/>
    </row>
    <row r="3786" spans="1:17" hidden="1" outlineLevel="1">
      <c r="E3786" s="20"/>
      <c r="F3786" s="120"/>
      <c r="G3786" s="136"/>
      <c r="H3786" s="118" t="s">
        <v>4678</v>
      </c>
      <c r="I3786" s="137"/>
      <c r="J3786" s="146"/>
      <c r="K3786" s="138"/>
      <c r="L3786" s="134"/>
      <c r="M3786" s="138"/>
      <c r="N3786" s="134">
        <v>11.46</v>
      </c>
      <c r="O3786" s="139">
        <f>ROUND(PRODUCT(J3786:N3786),2)</f>
        <v>11.46</v>
      </c>
      <c r="P3786" s="185"/>
      <c r="Q3786" s="185"/>
    </row>
    <row r="3787" spans="1:17" hidden="1" outlineLevel="1">
      <c r="E3787" s="20"/>
      <c r="F3787" s="120"/>
      <c r="G3787" s="136"/>
      <c r="H3787" s="118" t="s">
        <v>4679</v>
      </c>
      <c r="I3787" s="137"/>
      <c r="J3787" s="146"/>
      <c r="K3787" s="138"/>
      <c r="L3787" s="134"/>
      <c r="M3787" s="138"/>
      <c r="N3787" s="134">
        <v>10.73</v>
      </c>
      <c r="O3787" s="139">
        <f>ROUND(PRODUCT(J3787:N3787),2)</f>
        <v>10.73</v>
      </c>
      <c r="P3787" s="185"/>
      <c r="Q3787" s="185"/>
    </row>
    <row r="3788" spans="1:17" ht="45" hidden="1" outlineLevel="1">
      <c r="A3788" s="2">
        <v>9</v>
      </c>
      <c r="B3788" s="2">
        <v>2</v>
      </c>
      <c r="C3788" s="2" t="e">
        <f>1+C3775</f>
        <v>#REF!</v>
      </c>
      <c r="E3788" s="20" t="e">
        <f>CONCATENATE(A3788,".",B3788,".",C3788)</f>
        <v>#REF!</v>
      </c>
      <c r="F3788" s="120" t="s">
        <v>4683</v>
      </c>
      <c r="G3788" s="113">
        <v>92443</v>
      </c>
      <c r="H3788" s="114" t="s">
        <v>101</v>
      </c>
      <c r="I3788" s="115" t="s">
        <v>276</v>
      </c>
      <c r="J3788" s="131"/>
      <c r="K3788" s="132"/>
      <c r="L3788" s="133"/>
      <c r="M3788" s="132"/>
      <c r="N3788" s="134"/>
      <c r="O3788" s="135">
        <f>SUM(O3789:O3792)</f>
        <v>36.5</v>
      </c>
      <c r="P3788" s="185"/>
      <c r="Q3788" s="185"/>
    </row>
    <row r="3789" spans="1:17" hidden="1" outlineLevel="1">
      <c r="E3789" s="20"/>
      <c r="F3789" s="120"/>
      <c r="G3789" s="136"/>
      <c r="H3789" s="118" t="s">
        <v>4684</v>
      </c>
      <c r="I3789" s="137"/>
      <c r="J3789" s="143"/>
      <c r="K3789" s="138"/>
      <c r="L3789" s="134"/>
      <c r="M3789" s="138"/>
      <c r="N3789" s="134">
        <v>13.4</v>
      </c>
      <c r="O3789" s="139">
        <f>ROUND(PRODUCT(J3789:N3789),2)</f>
        <v>13.4</v>
      </c>
      <c r="P3789" s="185"/>
      <c r="Q3789" s="185"/>
    </row>
    <row r="3790" spans="1:17" hidden="1" outlineLevel="1">
      <c r="E3790" s="20"/>
      <c r="F3790" s="120"/>
      <c r="G3790" s="136"/>
      <c r="H3790" s="118" t="s">
        <v>4685</v>
      </c>
      <c r="I3790" s="137"/>
      <c r="J3790" s="143"/>
      <c r="K3790" s="138"/>
      <c r="L3790" s="134"/>
      <c r="M3790" s="138"/>
      <c r="N3790" s="134">
        <v>6.4</v>
      </c>
      <c r="O3790" s="139">
        <f>ROUND(PRODUCT(J3790:N3790),2)</f>
        <v>6.4</v>
      </c>
      <c r="P3790" s="185"/>
      <c r="Q3790" s="185"/>
    </row>
    <row r="3791" spans="1:17" hidden="1" outlineLevel="1">
      <c r="E3791" s="20"/>
      <c r="F3791" s="120"/>
      <c r="G3791" s="136"/>
      <c r="H3791" s="118" t="s">
        <v>4686</v>
      </c>
      <c r="I3791" s="137"/>
      <c r="J3791" s="143"/>
      <c r="K3791" s="138"/>
      <c r="L3791" s="134"/>
      <c r="M3791" s="138"/>
      <c r="N3791" s="134">
        <v>8.3000000000000007</v>
      </c>
      <c r="O3791" s="139">
        <f>ROUND(PRODUCT(J3791:N3791),2)</f>
        <v>8.3000000000000007</v>
      </c>
      <c r="P3791" s="185"/>
      <c r="Q3791" s="185"/>
    </row>
    <row r="3792" spans="1:17" hidden="1" outlineLevel="1">
      <c r="E3792" s="20"/>
      <c r="F3792" s="120"/>
      <c r="G3792" s="136"/>
      <c r="H3792" s="118" t="s">
        <v>4687</v>
      </c>
      <c r="I3792" s="137"/>
      <c r="J3792" s="143"/>
      <c r="K3792" s="138"/>
      <c r="L3792" s="134"/>
      <c r="M3792" s="138"/>
      <c r="N3792" s="134">
        <v>8.4</v>
      </c>
      <c r="O3792" s="139">
        <f>ROUND(PRODUCT(J3792:N3792),2)</f>
        <v>8.4</v>
      </c>
      <c r="P3792" s="185"/>
      <c r="Q3792" s="185"/>
    </row>
    <row r="3793" spans="1:17" ht="45" hidden="1" outlineLevel="1">
      <c r="A3793" s="2">
        <v>9</v>
      </c>
      <c r="B3793" s="2">
        <v>2</v>
      </c>
      <c r="C3793" s="2" t="e">
        <f>1+C3788</f>
        <v>#REF!</v>
      </c>
      <c r="E3793" s="20" t="e">
        <f>CONCATENATE(A3793,".",B3793,".",C3793)</f>
        <v>#REF!</v>
      </c>
      <c r="F3793" s="120" t="s">
        <v>4688</v>
      </c>
      <c r="G3793" s="113">
        <v>92479</v>
      </c>
      <c r="H3793" s="114" t="s">
        <v>104</v>
      </c>
      <c r="I3793" s="115" t="s">
        <v>276</v>
      </c>
      <c r="J3793" s="131"/>
      <c r="K3793" s="132"/>
      <c r="L3793" s="133"/>
      <c r="M3793" s="132"/>
      <c r="N3793" s="134"/>
      <c r="O3793" s="135">
        <f>SUM(O3794:O3797)</f>
        <v>60.300000000000004</v>
      </c>
      <c r="P3793" s="185"/>
      <c r="Q3793" s="185"/>
    </row>
    <row r="3794" spans="1:17" hidden="1" outlineLevel="1">
      <c r="E3794" s="20"/>
      <c r="F3794" s="120"/>
      <c r="G3794" s="136"/>
      <c r="H3794" s="118" t="s">
        <v>4662</v>
      </c>
      <c r="I3794" s="137"/>
      <c r="J3794" s="143"/>
      <c r="K3794" s="138"/>
      <c r="L3794" s="134"/>
      <c r="M3794" s="138"/>
      <c r="N3794" s="134">
        <v>9.9</v>
      </c>
      <c r="O3794" s="139">
        <f>ROUND(PRODUCT(J3794:N3794),2)</f>
        <v>9.9</v>
      </c>
      <c r="P3794" s="185"/>
      <c r="Q3794" s="185"/>
    </row>
    <row r="3795" spans="1:17" hidden="1" outlineLevel="1">
      <c r="E3795" s="20"/>
      <c r="F3795" s="120"/>
      <c r="G3795" s="136"/>
      <c r="H3795" s="118" t="s">
        <v>4664</v>
      </c>
      <c r="I3795" s="137"/>
      <c r="J3795" s="143"/>
      <c r="K3795" s="138"/>
      <c r="L3795" s="134"/>
      <c r="M3795" s="138"/>
      <c r="N3795" s="134">
        <v>10.4</v>
      </c>
      <c r="O3795" s="139">
        <f>ROUND(PRODUCT(J3795:N3795),2)</f>
        <v>10.4</v>
      </c>
      <c r="P3795" s="185"/>
      <c r="Q3795" s="185"/>
    </row>
    <row r="3796" spans="1:17" hidden="1" outlineLevel="1">
      <c r="E3796" s="20"/>
      <c r="F3796" s="120"/>
      <c r="G3796" s="136"/>
      <c r="H3796" s="118" t="s">
        <v>4666</v>
      </c>
      <c r="I3796" s="137"/>
      <c r="J3796" s="143"/>
      <c r="K3796" s="138"/>
      <c r="L3796" s="134"/>
      <c r="M3796" s="138"/>
      <c r="N3796" s="134">
        <v>7.4</v>
      </c>
      <c r="O3796" s="139">
        <f>ROUND(PRODUCT(J3796:N3796),2)</f>
        <v>7.4</v>
      </c>
      <c r="P3796" s="185"/>
      <c r="Q3796" s="185"/>
    </row>
    <row r="3797" spans="1:17" hidden="1" outlineLevel="1">
      <c r="E3797" s="20"/>
      <c r="F3797" s="120"/>
      <c r="G3797" s="136"/>
      <c r="H3797" s="118" t="s">
        <v>4668</v>
      </c>
      <c r="I3797" s="137"/>
      <c r="J3797" s="143"/>
      <c r="K3797" s="138"/>
      <c r="L3797" s="134"/>
      <c r="M3797" s="138"/>
      <c r="N3797" s="134">
        <v>32.6</v>
      </c>
      <c r="O3797" s="139">
        <f>ROUND(PRODUCT(J3797:N3797),2)</f>
        <v>32.6</v>
      </c>
      <c r="P3797" s="185"/>
      <c r="Q3797" s="185"/>
    </row>
    <row r="3798" spans="1:17" ht="30" hidden="1" outlineLevel="1">
      <c r="A3798" s="2">
        <v>9</v>
      </c>
      <c r="B3798" s="2">
        <v>2</v>
      </c>
      <c r="C3798" s="2" t="e">
        <f>1+C3793</f>
        <v>#REF!</v>
      </c>
      <c r="E3798" s="20" t="e">
        <f>CONCATENATE(A3798,".",B3798,".",C3798)</f>
        <v>#REF!</v>
      </c>
      <c r="F3798" s="120" t="s">
        <v>4689</v>
      </c>
      <c r="G3798" s="113">
        <v>92538</v>
      </c>
      <c r="H3798" s="114" t="s">
        <v>122</v>
      </c>
      <c r="I3798" s="115" t="s">
        <v>45</v>
      </c>
      <c r="J3798" s="131"/>
      <c r="K3798" s="132"/>
      <c r="L3798" s="133"/>
      <c r="M3798" s="132"/>
      <c r="N3798" s="134"/>
      <c r="O3798" s="135">
        <f>SUM(O3799:O3800)</f>
        <v>17.100000000000001</v>
      </c>
      <c r="P3798" s="185"/>
      <c r="Q3798" s="185"/>
    </row>
    <row r="3799" spans="1:17" hidden="1" outlineLevel="1">
      <c r="E3799" s="20"/>
      <c r="F3799" s="120"/>
      <c r="G3799" s="136"/>
      <c r="H3799" s="118" t="s">
        <v>4678</v>
      </c>
      <c r="I3799" s="137"/>
      <c r="J3799" s="143"/>
      <c r="K3799" s="138"/>
      <c r="L3799" s="134"/>
      <c r="M3799" s="138"/>
      <c r="N3799" s="138">
        <v>12.4</v>
      </c>
      <c r="O3799" s="139">
        <f>ROUND(PRODUCT(J3799:N3799),2)</f>
        <v>12.4</v>
      </c>
      <c r="P3799" s="185"/>
      <c r="Q3799" s="185"/>
    </row>
    <row r="3800" spans="1:17" hidden="1" outlineLevel="1">
      <c r="E3800" s="20"/>
      <c r="F3800" s="120"/>
      <c r="G3800" s="136"/>
      <c r="H3800" s="118" t="s">
        <v>4679</v>
      </c>
      <c r="I3800" s="137"/>
      <c r="J3800" s="143"/>
      <c r="K3800" s="138"/>
      <c r="L3800" s="134"/>
      <c r="M3800" s="138"/>
      <c r="N3800" s="138">
        <v>4.7</v>
      </c>
      <c r="O3800" s="139">
        <f>ROUND(PRODUCT(J3800:N3800),2)</f>
        <v>4.7</v>
      </c>
      <c r="P3800" s="185"/>
      <c r="Q3800" s="185"/>
    </row>
    <row r="3801" spans="1:17" ht="45" hidden="1" outlineLevel="1">
      <c r="E3801" s="20"/>
      <c r="F3801" s="120" t="s">
        <v>4690</v>
      </c>
      <c r="G3801" s="113">
        <v>604</v>
      </c>
      <c r="H3801" s="114" t="s">
        <v>2846</v>
      </c>
      <c r="I3801" s="115" t="s">
        <v>2815</v>
      </c>
      <c r="J3801" s="131"/>
      <c r="K3801" s="132"/>
      <c r="L3801" s="133"/>
      <c r="M3801" s="132"/>
      <c r="N3801" s="134"/>
      <c r="O3801" s="135">
        <f>SUM(O3802:O3813)</f>
        <v>8.8000000000000007</v>
      </c>
      <c r="P3801" s="185"/>
      <c r="Q3801" s="185"/>
    </row>
    <row r="3802" spans="1:17" hidden="1" outlineLevel="1">
      <c r="E3802" s="20"/>
      <c r="F3802" s="120"/>
      <c r="G3802" s="113"/>
      <c r="H3802" s="118" t="s">
        <v>4684</v>
      </c>
      <c r="I3802" s="115"/>
      <c r="J3802" s="131"/>
      <c r="K3802" s="132"/>
      <c r="L3802" s="133"/>
      <c r="M3802" s="132"/>
      <c r="N3802" s="134">
        <v>0.6</v>
      </c>
      <c r="O3802" s="139">
        <f t="shared" ref="O3802:O3813" si="89">ROUND(PRODUCT(J3802:N3802),2)</f>
        <v>0.6</v>
      </c>
      <c r="P3802" s="185"/>
      <c r="Q3802" s="185"/>
    </row>
    <row r="3803" spans="1:17" hidden="1" outlineLevel="1">
      <c r="E3803" s="20"/>
      <c r="F3803" s="120"/>
      <c r="G3803" s="113"/>
      <c r="H3803" s="118" t="s">
        <v>4662</v>
      </c>
      <c r="I3803" s="115"/>
      <c r="J3803" s="131"/>
      <c r="K3803" s="132"/>
      <c r="L3803" s="133"/>
      <c r="M3803" s="132"/>
      <c r="N3803" s="134">
        <v>0.7</v>
      </c>
      <c r="O3803" s="139">
        <f t="shared" si="89"/>
        <v>0.7</v>
      </c>
      <c r="P3803" s="185"/>
      <c r="Q3803" s="185"/>
    </row>
    <row r="3804" spans="1:17" hidden="1" outlineLevel="1">
      <c r="E3804" s="20"/>
      <c r="F3804" s="120"/>
      <c r="G3804" s="113"/>
      <c r="H3804" s="118" t="s">
        <v>4682</v>
      </c>
      <c r="I3804" s="115"/>
      <c r="J3804" s="131"/>
      <c r="K3804" s="132"/>
      <c r="L3804" s="133"/>
      <c r="M3804" s="132"/>
      <c r="N3804" s="134">
        <v>0.6</v>
      </c>
      <c r="O3804" s="139">
        <f t="shared" si="89"/>
        <v>0.6</v>
      </c>
      <c r="P3804" s="185"/>
      <c r="Q3804" s="185"/>
    </row>
    <row r="3805" spans="1:17" hidden="1" outlineLevel="1">
      <c r="E3805" s="20"/>
      <c r="F3805" s="120"/>
      <c r="G3805" s="113"/>
      <c r="H3805" s="118" t="s">
        <v>4685</v>
      </c>
      <c r="I3805" s="115"/>
      <c r="J3805" s="131"/>
      <c r="K3805" s="132"/>
      <c r="L3805" s="133"/>
      <c r="M3805" s="132"/>
      <c r="N3805" s="134">
        <v>0.3</v>
      </c>
      <c r="O3805" s="139">
        <f t="shared" si="89"/>
        <v>0.3</v>
      </c>
      <c r="P3805" s="185"/>
      <c r="Q3805" s="185"/>
    </row>
    <row r="3806" spans="1:17" hidden="1" outlineLevel="1">
      <c r="E3806" s="20"/>
      <c r="F3806" s="120"/>
      <c r="G3806" s="113"/>
      <c r="H3806" s="118" t="s">
        <v>4664</v>
      </c>
      <c r="I3806" s="115"/>
      <c r="J3806" s="131"/>
      <c r="K3806" s="132"/>
      <c r="L3806" s="133"/>
      <c r="M3806" s="132"/>
      <c r="N3806" s="134">
        <v>0.7</v>
      </c>
      <c r="O3806" s="139">
        <f t="shared" si="89"/>
        <v>0.7</v>
      </c>
      <c r="P3806" s="185"/>
      <c r="Q3806" s="185"/>
    </row>
    <row r="3807" spans="1:17" hidden="1" outlineLevel="1">
      <c r="E3807" s="20"/>
      <c r="F3807" s="120"/>
      <c r="G3807" s="113"/>
      <c r="H3807" s="118" t="s">
        <v>4678</v>
      </c>
      <c r="I3807" s="115"/>
      <c r="J3807" s="131"/>
      <c r="K3807" s="132"/>
      <c r="L3807" s="133"/>
      <c r="M3807" s="132"/>
      <c r="N3807" s="134">
        <v>1.4</v>
      </c>
      <c r="O3807" s="139">
        <f t="shared" si="89"/>
        <v>1.4</v>
      </c>
      <c r="P3807" s="185"/>
      <c r="Q3807" s="185"/>
    </row>
    <row r="3808" spans="1:17" hidden="1" outlineLevel="1">
      <c r="E3808" s="20"/>
      <c r="F3808" s="120"/>
      <c r="G3808" s="113"/>
      <c r="H3808" s="118" t="s">
        <v>4686</v>
      </c>
      <c r="I3808" s="115"/>
      <c r="J3808" s="131"/>
      <c r="K3808" s="132"/>
      <c r="L3808" s="133"/>
      <c r="M3808" s="132"/>
      <c r="N3808" s="134">
        <v>0.4</v>
      </c>
      <c r="O3808" s="139">
        <f t="shared" si="89"/>
        <v>0.4</v>
      </c>
      <c r="P3808" s="185"/>
      <c r="Q3808" s="185"/>
    </row>
    <row r="3809" spans="1:17" hidden="1" outlineLevel="1">
      <c r="E3809" s="20"/>
      <c r="F3809" s="120"/>
      <c r="G3809" s="113"/>
      <c r="H3809" s="118" t="s">
        <v>4666</v>
      </c>
      <c r="I3809" s="115"/>
      <c r="J3809" s="131"/>
      <c r="K3809" s="132"/>
      <c r="L3809" s="133"/>
      <c r="M3809" s="132"/>
      <c r="N3809" s="134">
        <v>0.5</v>
      </c>
      <c r="O3809" s="139">
        <f t="shared" si="89"/>
        <v>0.5</v>
      </c>
      <c r="P3809" s="185"/>
      <c r="Q3809" s="185"/>
    </row>
    <row r="3810" spans="1:17" hidden="1" outlineLevel="1">
      <c r="E3810" s="20"/>
      <c r="F3810" s="120"/>
      <c r="G3810" s="113"/>
      <c r="H3810" s="118" t="s">
        <v>4691</v>
      </c>
      <c r="I3810" s="115"/>
      <c r="J3810" s="131"/>
      <c r="K3810" s="132"/>
      <c r="L3810" s="133"/>
      <c r="M3810" s="132"/>
      <c r="N3810" s="134">
        <v>0.4</v>
      </c>
      <c r="O3810" s="139">
        <f t="shared" si="89"/>
        <v>0.4</v>
      </c>
      <c r="P3810" s="185"/>
      <c r="Q3810" s="185"/>
    </row>
    <row r="3811" spans="1:17" hidden="1" outlineLevel="1">
      <c r="E3811" s="20"/>
      <c r="F3811" s="120"/>
      <c r="G3811" s="113"/>
      <c r="H3811" s="118" t="s">
        <v>4687</v>
      </c>
      <c r="I3811" s="115"/>
      <c r="J3811" s="131"/>
      <c r="K3811" s="132"/>
      <c r="L3811" s="133"/>
      <c r="M3811" s="132"/>
      <c r="N3811" s="134">
        <v>0.4</v>
      </c>
      <c r="O3811" s="139">
        <f t="shared" si="89"/>
        <v>0.4</v>
      </c>
      <c r="P3811" s="185"/>
      <c r="Q3811" s="185"/>
    </row>
    <row r="3812" spans="1:17" hidden="1" outlineLevel="1">
      <c r="E3812" s="20"/>
      <c r="F3812" s="120"/>
      <c r="G3812" s="113"/>
      <c r="H3812" s="118" t="s">
        <v>4668</v>
      </c>
      <c r="I3812" s="115"/>
      <c r="J3812" s="131"/>
      <c r="K3812" s="132"/>
      <c r="L3812" s="133"/>
      <c r="M3812" s="132"/>
      <c r="N3812" s="134">
        <v>2.4</v>
      </c>
      <c r="O3812" s="139">
        <f t="shared" si="89"/>
        <v>2.4</v>
      </c>
      <c r="P3812" s="185"/>
      <c r="Q3812" s="185"/>
    </row>
    <row r="3813" spans="1:17" hidden="1" outlineLevel="1">
      <c r="E3813" s="20"/>
      <c r="F3813" s="120"/>
      <c r="G3813" s="113"/>
      <c r="H3813" s="118" t="s">
        <v>4679</v>
      </c>
      <c r="I3813" s="115"/>
      <c r="J3813" s="131"/>
      <c r="K3813" s="132"/>
      <c r="L3813" s="133"/>
      <c r="M3813" s="132"/>
      <c r="N3813" s="134">
        <v>0.4</v>
      </c>
      <c r="O3813" s="139">
        <f t="shared" si="89"/>
        <v>0.4</v>
      </c>
      <c r="P3813" s="185"/>
      <c r="Q3813" s="185"/>
    </row>
    <row r="3814" spans="1:17" collapsed="1">
      <c r="A3814" s="2">
        <v>9</v>
      </c>
      <c r="B3814" s="2">
        <v>3</v>
      </c>
      <c r="E3814" s="42" t="str">
        <f>CONCATENATE(A3814,".",B3814)</f>
        <v>9.3</v>
      </c>
      <c r="F3814" s="45" t="s">
        <v>4692</v>
      </c>
      <c r="G3814" s="13"/>
      <c r="H3814" s="14" t="s">
        <v>134</v>
      </c>
      <c r="I3814" s="15"/>
      <c r="J3814" s="16"/>
      <c r="K3814" s="17"/>
      <c r="L3814" s="16"/>
      <c r="M3814" s="17"/>
      <c r="N3814" s="18"/>
      <c r="O3814" s="19"/>
      <c r="P3814" s="185"/>
      <c r="Q3814" s="185"/>
    </row>
    <row r="3815" spans="1:17" ht="45" hidden="1" outlineLevel="1">
      <c r="A3815" s="2">
        <v>9</v>
      </c>
      <c r="B3815" s="2">
        <v>3</v>
      </c>
      <c r="C3815" s="2">
        <v>1</v>
      </c>
      <c r="E3815" s="20" t="str">
        <f>CONCATENATE(A3815,".",B3815,".",C3815)</f>
        <v>9.3.1</v>
      </c>
      <c r="F3815" s="21" t="s">
        <v>4693</v>
      </c>
      <c r="G3815" s="22" t="s">
        <v>976</v>
      </c>
      <c r="H3815" s="23" t="s">
        <v>977</v>
      </c>
      <c r="I3815" s="24" t="s">
        <v>45</v>
      </c>
      <c r="J3815" s="25"/>
      <c r="K3815" s="10"/>
      <c r="L3815" s="32"/>
      <c r="M3815" s="10"/>
      <c r="N3815" s="33"/>
      <c r="O3815" s="27">
        <f>SUM(O3816:O3827)</f>
        <v>113.27000000000001</v>
      </c>
      <c r="P3815" s="185"/>
      <c r="Q3815" s="185"/>
    </row>
    <row r="3816" spans="1:17" hidden="1" outlineLevel="2">
      <c r="E3816" s="72"/>
      <c r="F3816" s="21"/>
      <c r="G3816" s="34"/>
      <c r="H3816" s="30" t="s">
        <v>4606</v>
      </c>
      <c r="I3816" s="62"/>
      <c r="J3816" s="37"/>
      <c r="K3816" s="37">
        <f>2+2+2.2+2.2</f>
        <v>8.4</v>
      </c>
      <c r="L3816" s="37"/>
      <c r="M3816" s="37">
        <v>3</v>
      </c>
      <c r="N3816" s="38"/>
      <c r="O3816" s="58">
        <f t="shared" ref="O3816:O3827" si="90">ROUND(PRODUCT(J3816:N3816),2)</f>
        <v>25.2</v>
      </c>
      <c r="P3816" s="185"/>
    </row>
    <row r="3817" spans="1:17" hidden="1" outlineLevel="2">
      <c r="E3817" s="72"/>
      <c r="F3817" s="21"/>
      <c r="G3817" s="34"/>
      <c r="H3817" s="30" t="str">
        <f>_xlfn.CONCAT(H3816," - VÃO")</f>
        <v>GUARITA - VÃO</v>
      </c>
      <c r="I3817" s="62"/>
      <c r="J3817" s="37">
        <v>-1</v>
      </c>
      <c r="K3817" s="37"/>
      <c r="L3817" s="37"/>
      <c r="M3817" s="37"/>
      <c r="N3817" s="38">
        <f>2*0.6*1.1+2.2*1.1+0.9*2.1</f>
        <v>5.6300000000000008</v>
      </c>
      <c r="O3817" s="58">
        <f t="shared" si="90"/>
        <v>-5.63</v>
      </c>
      <c r="P3817" s="185"/>
    </row>
    <row r="3818" spans="1:17" hidden="1" outlineLevel="2">
      <c r="E3818" s="72"/>
      <c r="F3818" s="21"/>
      <c r="G3818" s="34"/>
      <c r="H3818" s="30" t="s">
        <v>4694</v>
      </c>
      <c r="I3818" s="62"/>
      <c r="J3818" s="37"/>
      <c r="K3818" s="37">
        <f>1.35+1.35+2.2</f>
        <v>4.9000000000000004</v>
      </c>
      <c r="L3818" s="37"/>
      <c r="M3818" s="37">
        <v>3</v>
      </c>
      <c r="N3818" s="38"/>
      <c r="O3818" s="58">
        <f t="shared" si="90"/>
        <v>14.7</v>
      </c>
      <c r="P3818" s="185"/>
    </row>
    <row r="3819" spans="1:17" hidden="1" outlineLevel="2">
      <c r="E3819" s="72"/>
      <c r="F3819" s="21"/>
      <c r="G3819" s="34"/>
      <c r="H3819" s="30" t="str">
        <f>_xlfn.CONCAT(H3818," - VÃO")</f>
        <v>BANHEIRO GUARITA - VÃO</v>
      </c>
      <c r="I3819" s="62"/>
      <c r="J3819" s="37">
        <v>-1</v>
      </c>
      <c r="K3819" s="37"/>
      <c r="L3819" s="37"/>
      <c r="M3819" s="37"/>
      <c r="N3819" s="38">
        <f>0.9*2.1+0.66*0.46</f>
        <v>2.1936</v>
      </c>
      <c r="O3819" s="58">
        <f t="shared" si="90"/>
        <v>-2.19</v>
      </c>
      <c r="P3819" s="185"/>
    </row>
    <row r="3820" spans="1:17" hidden="1" outlineLevel="2">
      <c r="E3820" s="72"/>
      <c r="F3820" s="21"/>
      <c r="G3820" s="34"/>
      <c r="H3820" s="30" t="s">
        <v>4695</v>
      </c>
      <c r="I3820" s="62"/>
      <c r="J3820" s="37"/>
      <c r="K3820" s="37">
        <f>2.15+2.15+2.2</f>
        <v>6.5</v>
      </c>
      <c r="L3820" s="37"/>
      <c r="M3820" s="37">
        <v>3</v>
      </c>
      <c r="N3820" s="38"/>
      <c r="O3820" s="58">
        <f t="shared" si="90"/>
        <v>19.5</v>
      </c>
      <c r="P3820" s="185"/>
    </row>
    <row r="3821" spans="1:17" hidden="1" outlineLevel="2">
      <c r="E3821" s="72"/>
      <c r="F3821" s="21"/>
      <c r="G3821" s="34"/>
      <c r="H3821" s="30" t="str">
        <f>_xlfn.CONCAT(H3820," - VÃO")</f>
        <v>SALA TÉCNICA GUARITA - VÃO</v>
      </c>
      <c r="I3821" s="62"/>
      <c r="J3821" s="37">
        <v>-1</v>
      </c>
      <c r="K3821" s="37"/>
      <c r="L3821" s="37"/>
      <c r="M3821" s="37"/>
      <c r="N3821" s="38">
        <f>0.9*2.1</f>
        <v>1.8900000000000001</v>
      </c>
      <c r="O3821" s="58">
        <f>ROUND(PRODUCT(J3821:N3821),2)</f>
        <v>-1.89</v>
      </c>
      <c r="P3821" s="185"/>
    </row>
    <row r="3822" spans="1:17" hidden="1" outlineLevel="2">
      <c r="E3822" s="72"/>
      <c r="F3822" s="21"/>
      <c r="G3822" s="34"/>
      <c r="H3822" s="30" t="s">
        <v>3621</v>
      </c>
      <c r="I3822" s="62"/>
      <c r="J3822" s="37"/>
      <c r="K3822" s="37">
        <f>4.2+2.2+4.2</f>
        <v>10.600000000000001</v>
      </c>
      <c r="L3822" s="37"/>
      <c r="M3822" s="37">
        <v>2.5</v>
      </c>
      <c r="N3822" s="38"/>
      <c r="O3822" s="58">
        <f t="shared" si="90"/>
        <v>26.5</v>
      </c>
      <c r="P3822" s="185"/>
    </row>
    <row r="3823" spans="1:17" hidden="1" outlineLevel="2">
      <c r="E3823" s="72"/>
      <c r="F3823" s="21"/>
      <c r="G3823" s="34"/>
      <c r="H3823" s="30" t="str">
        <f>_xlfn.CONCAT(H3822," - VÃO")</f>
        <v>LIXEIRA - VÃO</v>
      </c>
      <c r="I3823" s="37"/>
      <c r="J3823" s="37">
        <v>-1</v>
      </c>
      <c r="K3823" s="37"/>
      <c r="L3823" s="37"/>
      <c r="M3823" s="37"/>
      <c r="N3823" s="38">
        <f>2*1.8*2.1+1.2*2*2.1</f>
        <v>12.600000000000001</v>
      </c>
      <c r="O3823" s="58">
        <f t="shared" si="90"/>
        <v>-12.6</v>
      </c>
      <c r="P3823" s="185"/>
    </row>
    <row r="3824" spans="1:17" hidden="1" outlineLevel="2">
      <c r="E3824" s="72"/>
      <c r="F3824" s="21"/>
      <c r="G3824" s="34"/>
      <c r="H3824" s="30" t="s">
        <v>1226</v>
      </c>
      <c r="I3824" s="37"/>
      <c r="J3824" s="37"/>
      <c r="K3824" s="37">
        <f>3.9+1.2+1.2</f>
        <v>6.3</v>
      </c>
      <c r="L3824" s="37"/>
      <c r="M3824" s="37">
        <v>2.5</v>
      </c>
      <c r="N3824" s="38"/>
      <c r="O3824" s="58">
        <f t="shared" si="90"/>
        <v>15.75</v>
      </c>
      <c r="P3824" s="185"/>
    </row>
    <row r="3825" spans="1:17" hidden="1" outlineLevel="2">
      <c r="E3825" s="72"/>
      <c r="F3825" s="21"/>
      <c r="G3825" s="34"/>
      <c r="H3825" s="30" t="str">
        <f>_xlfn.CONCAT(H3824," - VÃO")</f>
        <v>GLP - VÃO</v>
      </c>
      <c r="I3825" s="37"/>
      <c r="J3825" s="37">
        <v>-1</v>
      </c>
      <c r="K3825" s="37"/>
      <c r="L3825" s="37"/>
      <c r="M3825" s="37"/>
      <c r="N3825" s="38">
        <v>0</v>
      </c>
      <c r="O3825" s="58">
        <f t="shared" si="90"/>
        <v>0</v>
      </c>
      <c r="P3825" s="185"/>
    </row>
    <row r="3826" spans="1:17" hidden="1" outlineLevel="2">
      <c r="E3826" s="72"/>
      <c r="F3826" s="21"/>
      <c r="G3826" s="34"/>
      <c r="H3826" s="30" t="s">
        <v>4696</v>
      </c>
      <c r="I3826" s="37"/>
      <c r="J3826" s="37"/>
      <c r="K3826" s="37">
        <f>2.1*4.4+3*2.1*2+3*4.75</f>
        <v>36.090000000000003</v>
      </c>
      <c r="L3826" s="37"/>
      <c r="M3826" s="37"/>
      <c r="N3826" s="38"/>
      <c r="O3826" s="58">
        <f t="shared" si="90"/>
        <v>36.090000000000003</v>
      </c>
      <c r="P3826" s="185"/>
    </row>
    <row r="3827" spans="1:17" hidden="1" outlineLevel="2">
      <c r="E3827" s="72"/>
      <c r="F3827" s="21"/>
      <c r="G3827" s="34"/>
      <c r="H3827" s="30" t="s">
        <v>4697</v>
      </c>
      <c r="I3827" s="37"/>
      <c r="J3827" s="37">
        <v>-1</v>
      </c>
      <c r="K3827" s="37"/>
      <c r="L3827" s="37"/>
      <c r="M3827" s="37"/>
      <c r="N3827" s="38">
        <f>1.2*1.8</f>
        <v>2.16</v>
      </c>
      <c r="O3827" s="58">
        <f t="shared" si="90"/>
        <v>-2.16</v>
      </c>
      <c r="P3827" s="185"/>
    </row>
    <row r="3828" spans="1:17" hidden="1" outlineLevel="1">
      <c r="A3828" s="2">
        <v>9</v>
      </c>
      <c r="B3828" s="2">
        <v>3</v>
      </c>
      <c r="C3828" s="2">
        <f>C3815+1</f>
        <v>2</v>
      </c>
      <c r="E3828" s="20" t="str">
        <f>CONCATENATE(A3828,".",B3828,".",C3828)</f>
        <v>9.3.2</v>
      </c>
      <c r="F3828" s="21" t="s">
        <v>4698</v>
      </c>
      <c r="G3828" s="113">
        <v>105022</v>
      </c>
      <c r="H3828" s="114" t="s">
        <v>143</v>
      </c>
      <c r="I3828" s="24" t="s">
        <v>144</v>
      </c>
      <c r="J3828" s="25"/>
      <c r="K3828" s="10"/>
      <c r="L3828" s="32"/>
      <c r="M3828" s="10"/>
      <c r="N3828" s="33"/>
      <c r="O3828" s="27">
        <f>SUM(O3829:O3832)</f>
        <v>9.3000000000000007</v>
      </c>
      <c r="P3828" s="185"/>
      <c r="Q3828" s="185"/>
    </row>
    <row r="3829" spans="1:17" hidden="1" outlineLevel="2">
      <c r="E3829" s="72"/>
      <c r="F3829" s="21"/>
      <c r="G3829" s="34"/>
      <c r="H3829" s="30" t="s">
        <v>4699</v>
      </c>
      <c r="I3829" s="62"/>
      <c r="J3829" s="37"/>
      <c r="K3829" s="38">
        <f>1.2+0.5</f>
        <v>1.7</v>
      </c>
      <c r="L3829" s="37"/>
      <c r="M3829" s="38"/>
      <c r="N3829" s="38">
        <v>1</v>
      </c>
      <c r="O3829" s="58">
        <f>ROUND(PRODUCT(J3829:N3829),2)</f>
        <v>1.7</v>
      </c>
      <c r="P3829" s="185"/>
    </row>
    <row r="3830" spans="1:17" hidden="1" outlineLevel="2">
      <c r="E3830" s="72"/>
      <c r="F3830" s="21"/>
      <c r="G3830" s="34"/>
      <c r="H3830" s="30" t="s">
        <v>4700</v>
      </c>
      <c r="I3830" s="62"/>
      <c r="J3830" s="37"/>
      <c r="K3830" s="38">
        <f>0.9+0.5</f>
        <v>1.4</v>
      </c>
      <c r="L3830" s="37"/>
      <c r="M3830" s="38"/>
      <c r="N3830" s="38">
        <v>2</v>
      </c>
      <c r="O3830" s="58">
        <f>ROUND(PRODUCT(J3830:N3830),2)</f>
        <v>2.8</v>
      </c>
      <c r="P3830" s="185"/>
    </row>
    <row r="3831" spans="1:17" hidden="1" outlineLevel="2">
      <c r="E3831" s="72"/>
      <c r="F3831" s="21"/>
      <c r="G3831" s="34"/>
      <c r="H3831" s="30" t="s">
        <v>4701</v>
      </c>
      <c r="I3831" s="62"/>
      <c r="J3831" s="37"/>
      <c r="K3831" s="38">
        <f>0.9+0.5</f>
        <v>1.4</v>
      </c>
      <c r="L3831" s="37"/>
      <c r="M3831" s="38"/>
      <c r="N3831" s="38">
        <v>1</v>
      </c>
      <c r="O3831" s="58">
        <f>ROUND(PRODUCT(J3831:N3831),2)</f>
        <v>1.4</v>
      </c>
      <c r="P3831" s="185"/>
    </row>
    <row r="3832" spans="1:17" hidden="1" outlineLevel="2">
      <c r="E3832" s="72"/>
      <c r="F3832" s="21"/>
      <c r="G3832" s="34"/>
      <c r="H3832" s="30" t="s">
        <v>4702</v>
      </c>
      <c r="I3832" s="62"/>
      <c r="J3832" s="33"/>
      <c r="K3832" s="38">
        <f>1.2+0.5</f>
        <v>1.7</v>
      </c>
      <c r="L3832" s="37"/>
      <c r="M3832" s="38"/>
      <c r="N3832" s="38">
        <v>2</v>
      </c>
      <c r="O3832" s="58">
        <f>ROUND(PRODUCT(J3832:N3832),2)</f>
        <v>3.4</v>
      </c>
      <c r="P3832" s="185"/>
    </row>
    <row r="3833" spans="1:17" hidden="1" outlineLevel="2">
      <c r="E3833" s="72"/>
      <c r="F3833" s="21"/>
      <c r="G3833" s="34"/>
      <c r="H3833" s="30" t="s">
        <v>4703</v>
      </c>
      <c r="I3833" s="62"/>
      <c r="J3833" s="33"/>
      <c r="K3833" s="38">
        <f>0.6+0.5</f>
        <v>1.1000000000000001</v>
      </c>
      <c r="L3833" s="37"/>
      <c r="M3833" s="38"/>
      <c r="N3833" s="38">
        <v>2</v>
      </c>
      <c r="O3833" s="58">
        <f>ROUND(PRODUCT(J3833:N3833),2)</f>
        <v>2.2000000000000002</v>
      </c>
      <c r="P3833" s="185"/>
    </row>
    <row r="3834" spans="1:17" ht="30" hidden="1" outlineLevel="1">
      <c r="A3834" s="2">
        <v>9</v>
      </c>
      <c r="B3834" s="2">
        <v>3</v>
      </c>
      <c r="C3834" s="2">
        <f>C3828+1</f>
        <v>3</v>
      </c>
      <c r="E3834" s="20" t="str">
        <f>CONCATENATE(A3834,".",B3834,".",C3834)</f>
        <v>9.3.3</v>
      </c>
      <c r="F3834" s="21" t="s">
        <v>4704</v>
      </c>
      <c r="G3834" s="113">
        <v>105026</v>
      </c>
      <c r="H3834" s="114" t="s">
        <v>147</v>
      </c>
      <c r="I3834" s="115" t="s">
        <v>144</v>
      </c>
      <c r="J3834" s="25"/>
      <c r="K3834" s="10"/>
      <c r="L3834" s="32"/>
      <c r="M3834" s="10"/>
      <c r="N3834" s="33"/>
      <c r="O3834" s="27">
        <f>SUM(O3835:O3836)</f>
        <v>11.899999999999999</v>
      </c>
      <c r="P3834" s="185"/>
      <c r="Q3834" s="185"/>
    </row>
    <row r="3835" spans="1:17" hidden="1" outlineLevel="2">
      <c r="E3835" s="72"/>
      <c r="F3835" s="21"/>
      <c r="G3835" s="34"/>
      <c r="H3835" s="30" t="s">
        <v>4705</v>
      </c>
      <c r="I3835" s="62"/>
      <c r="J3835" s="33"/>
      <c r="K3835" s="38">
        <f>1.8+0.5</f>
        <v>2.2999999999999998</v>
      </c>
      <c r="L3835" s="37"/>
      <c r="M3835" s="38"/>
      <c r="N3835" s="38">
        <v>4</v>
      </c>
      <c r="O3835" s="58">
        <f>ROUND(PRODUCT(J3835:N3835),2)</f>
        <v>9.1999999999999993</v>
      </c>
      <c r="P3835" s="185"/>
      <c r="Q3835" s="185"/>
    </row>
    <row r="3836" spans="1:17" hidden="1" outlineLevel="2">
      <c r="E3836" s="72"/>
      <c r="F3836" s="21"/>
      <c r="G3836" s="34"/>
      <c r="H3836" s="30" t="s">
        <v>4706</v>
      </c>
      <c r="I3836" s="35"/>
      <c r="J3836" s="25"/>
      <c r="K3836" s="38">
        <f>2.2+0.5</f>
        <v>2.7</v>
      </c>
      <c r="L3836" s="41"/>
      <c r="M3836" s="33"/>
      <c r="N3836" s="33">
        <v>1</v>
      </c>
      <c r="O3836" s="58">
        <f>ROUND(PRODUCT(J3836:N3836),2)</f>
        <v>2.7</v>
      </c>
      <c r="P3836" s="185"/>
      <c r="Q3836" s="185"/>
    </row>
    <row r="3837" spans="1:17" hidden="1" outlineLevel="1">
      <c r="A3837" s="2">
        <v>9</v>
      </c>
      <c r="B3837" s="2">
        <v>3</v>
      </c>
      <c r="C3837" s="2">
        <f>C3834+1</f>
        <v>4</v>
      </c>
      <c r="E3837" s="20" t="str">
        <f>CONCATENATE(A3837,".",B3837,".",C3837)</f>
        <v>9.3.4</v>
      </c>
      <c r="F3837" s="21" t="s">
        <v>4707</v>
      </c>
      <c r="G3837" s="113">
        <v>105028</v>
      </c>
      <c r="H3837" s="114" t="s">
        <v>150</v>
      </c>
      <c r="I3837" s="115" t="s">
        <v>144</v>
      </c>
      <c r="J3837" s="25"/>
      <c r="K3837" s="10"/>
      <c r="L3837" s="32"/>
      <c r="M3837" s="10"/>
      <c r="N3837" s="33"/>
      <c r="O3837" s="27">
        <f>SUM(O3838:O3838)</f>
        <v>2.2000000000000002</v>
      </c>
      <c r="P3837" s="185"/>
      <c r="Q3837" s="185"/>
    </row>
    <row r="3838" spans="1:17" hidden="1" outlineLevel="2">
      <c r="E3838" s="72"/>
      <c r="F3838" s="21"/>
      <c r="G3838" s="34"/>
      <c r="H3838" s="30" t="s">
        <v>4703</v>
      </c>
      <c r="I3838" s="62"/>
      <c r="J3838" s="33"/>
      <c r="K3838" s="38">
        <f>0.6+0.5</f>
        <v>1.1000000000000001</v>
      </c>
      <c r="L3838" s="37"/>
      <c r="M3838" s="38"/>
      <c r="N3838" s="38">
        <v>2</v>
      </c>
      <c r="O3838" s="58">
        <f>ROUND(PRODUCT(J3838:N3838),2)</f>
        <v>2.2000000000000002</v>
      </c>
      <c r="P3838" s="185"/>
      <c r="Q3838" s="185"/>
    </row>
    <row r="3839" spans="1:17" hidden="1" outlineLevel="1">
      <c r="A3839" s="2">
        <v>9</v>
      </c>
      <c r="B3839" s="2">
        <v>3</v>
      </c>
      <c r="C3839" s="2">
        <f>C3837+1</f>
        <v>5</v>
      </c>
      <c r="E3839" s="20" t="str">
        <f>CONCATENATE(A3839,".",B3839,".",C3839)</f>
        <v>9.3.5</v>
      </c>
      <c r="F3839" s="21" t="s">
        <v>4708</v>
      </c>
      <c r="G3839" s="113">
        <v>105027</v>
      </c>
      <c r="H3839" s="114" t="s">
        <v>153</v>
      </c>
      <c r="I3839" s="115" t="s">
        <v>144</v>
      </c>
      <c r="J3839" s="25"/>
      <c r="K3839" s="10"/>
      <c r="L3839" s="32"/>
      <c r="M3839" s="10"/>
      <c r="N3839" s="33"/>
      <c r="O3839" s="27">
        <f>SUM(O3840:O3841)</f>
        <v>11.899999999999999</v>
      </c>
      <c r="P3839" s="185"/>
      <c r="Q3839" s="185"/>
    </row>
    <row r="3840" spans="1:17" hidden="1" outlineLevel="2">
      <c r="E3840" s="72"/>
      <c r="F3840" s="21"/>
      <c r="G3840" s="34"/>
      <c r="H3840" s="30" t="s">
        <v>4705</v>
      </c>
      <c r="I3840" s="62"/>
      <c r="J3840" s="33"/>
      <c r="K3840" s="38">
        <f>1.8+0.5</f>
        <v>2.2999999999999998</v>
      </c>
      <c r="L3840" s="37"/>
      <c r="M3840" s="38"/>
      <c r="N3840" s="38">
        <v>4</v>
      </c>
      <c r="O3840" s="58">
        <f>ROUND(PRODUCT(J3840:N3840),2)</f>
        <v>9.1999999999999993</v>
      </c>
      <c r="P3840" s="185"/>
      <c r="Q3840" s="185"/>
    </row>
    <row r="3841" spans="1:17" hidden="1" outlineLevel="2">
      <c r="E3841" s="72"/>
      <c r="F3841" s="21"/>
      <c r="G3841" s="34"/>
      <c r="H3841" s="30" t="s">
        <v>4706</v>
      </c>
      <c r="I3841" s="35"/>
      <c r="J3841" s="25"/>
      <c r="K3841" s="38">
        <f>2.2+0.5</f>
        <v>2.7</v>
      </c>
      <c r="L3841" s="41"/>
      <c r="M3841" s="33"/>
      <c r="N3841" s="33">
        <v>1</v>
      </c>
      <c r="O3841" s="58">
        <f>ROUND(PRODUCT(J3841:N3841),2)</f>
        <v>2.7</v>
      </c>
      <c r="P3841" s="185"/>
      <c r="Q3841" s="185"/>
    </row>
    <row r="3842" spans="1:17" collapsed="1">
      <c r="A3842" s="2">
        <v>9</v>
      </c>
      <c r="B3842" s="2">
        <v>5</v>
      </c>
      <c r="E3842" s="42" t="str">
        <f>CONCATENATE(A3842,".",B3842)</f>
        <v>9.5</v>
      </c>
      <c r="F3842" s="45" t="s">
        <v>4709</v>
      </c>
      <c r="G3842" s="13"/>
      <c r="H3842" s="14" t="s">
        <v>190</v>
      </c>
      <c r="I3842" s="13"/>
      <c r="J3842" s="16"/>
      <c r="K3842" s="17"/>
      <c r="L3842" s="16"/>
      <c r="M3842" s="17"/>
      <c r="N3842" s="18"/>
      <c r="O3842" s="61"/>
      <c r="P3842" s="185"/>
      <c r="Q3842" s="185"/>
    </row>
    <row r="3843" spans="1:17" ht="30" hidden="1" outlineLevel="1">
      <c r="A3843" s="2">
        <v>9</v>
      </c>
      <c r="B3843" s="2">
        <v>5</v>
      </c>
      <c r="C3843" s="2">
        <v>1</v>
      </c>
      <c r="E3843" s="20" t="str">
        <f>CONCATENATE(A3843,".",B3843,".",C3843)</f>
        <v>9.5.1</v>
      </c>
      <c r="F3843" s="21" t="s">
        <v>4710</v>
      </c>
      <c r="G3843" s="113">
        <v>98562</v>
      </c>
      <c r="H3843" s="114" t="s">
        <v>193</v>
      </c>
      <c r="I3843" s="24" t="s">
        <v>276</v>
      </c>
      <c r="J3843" s="32"/>
      <c r="K3843" s="10"/>
      <c r="L3843" s="32"/>
      <c r="M3843" s="10"/>
      <c r="N3843" s="10"/>
      <c r="O3843" s="27">
        <f>SUM(O3844:O3851)</f>
        <v>111.08</v>
      </c>
      <c r="P3843" s="185"/>
      <c r="Q3843" s="185"/>
    </row>
    <row r="3844" spans="1:17" hidden="1" outlineLevel="2">
      <c r="E3844" s="72"/>
      <c r="F3844" s="21"/>
      <c r="G3844" s="22"/>
      <c r="H3844" s="30" t="s">
        <v>4678</v>
      </c>
      <c r="I3844" s="35"/>
      <c r="J3844" s="41"/>
      <c r="K3844" s="33"/>
      <c r="L3844" s="41"/>
      <c r="M3844" s="33"/>
      <c r="N3844" s="33">
        <v>28.46</v>
      </c>
      <c r="O3844" s="58">
        <f t="shared" ref="O3844:O3851" si="91">ROUND(PRODUCT(J3844:N3844),2)</f>
        <v>28.46</v>
      </c>
      <c r="P3844" s="185"/>
      <c r="Q3844" s="185"/>
    </row>
    <row r="3845" spans="1:17" hidden="1" outlineLevel="2">
      <c r="E3845" s="72"/>
      <c r="F3845" s="21"/>
      <c r="G3845" s="22"/>
      <c r="H3845" s="30" t="s">
        <v>4711</v>
      </c>
      <c r="I3845" s="35"/>
      <c r="J3845" s="41"/>
      <c r="K3845" s="33"/>
      <c r="L3845" s="41"/>
      <c r="M3845" s="33"/>
      <c r="N3845" s="33">
        <v>28.46</v>
      </c>
      <c r="O3845" s="58">
        <f t="shared" si="91"/>
        <v>28.46</v>
      </c>
      <c r="P3845" s="185"/>
      <c r="Q3845" s="185"/>
    </row>
    <row r="3846" spans="1:17" hidden="1" outlineLevel="2">
      <c r="E3846" s="72"/>
      <c r="F3846" s="21"/>
      <c r="G3846" s="22"/>
      <c r="H3846" s="30" t="s">
        <v>4682</v>
      </c>
      <c r="I3846" s="35"/>
      <c r="J3846" s="41"/>
      <c r="K3846" s="33"/>
      <c r="L3846" s="41"/>
      <c r="M3846" s="33"/>
      <c r="N3846" s="33">
        <v>11.44</v>
      </c>
      <c r="O3846" s="58">
        <f t="shared" si="91"/>
        <v>11.44</v>
      </c>
      <c r="P3846" s="185"/>
      <c r="Q3846" s="185"/>
    </row>
    <row r="3847" spans="1:17" hidden="1" outlineLevel="2">
      <c r="E3847" s="72"/>
      <c r="F3847" s="21"/>
      <c r="G3847" s="22"/>
      <c r="H3847" s="30" t="s">
        <v>4712</v>
      </c>
      <c r="I3847" s="35"/>
      <c r="J3847" s="41"/>
      <c r="K3847" s="33"/>
      <c r="L3847" s="41"/>
      <c r="M3847" s="33"/>
      <c r="N3847" s="33">
        <v>2.77</v>
      </c>
      <c r="O3847" s="58">
        <f t="shared" si="91"/>
        <v>2.77</v>
      </c>
      <c r="P3847" s="185"/>
      <c r="Q3847" s="185"/>
    </row>
    <row r="3848" spans="1:17" hidden="1" outlineLevel="2">
      <c r="E3848" s="72"/>
      <c r="F3848" s="21"/>
      <c r="G3848" s="22"/>
      <c r="H3848" s="30" t="s">
        <v>4691</v>
      </c>
      <c r="I3848" s="35"/>
      <c r="J3848" s="41"/>
      <c r="K3848" s="33"/>
      <c r="L3848" s="41"/>
      <c r="M3848" s="33"/>
      <c r="N3848" s="33">
        <v>8.58</v>
      </c>
      <c r="O3848" s="58">
        <f t="shared" si="91"/>
        <v>8.58</v>
      </c>
      <c r="P3848" s="185"/>
      <c r="Q3848" s="185"/>
    </row>
    <row r="3849" spans="1:17" hidden="1" outlineLevel="2">
      <c r="E3849" s="72"/>
      <c r="F3849" s="21"/>
      <c r="G3849" s="34"/>
      <c r="H3849" s="30" t="s">
        <v>4713</v>
      </c>
      <c r="I3849" s="37"/>
      <c r="J3849" s="37"/>
      <c r="K3849" s="37"/>
      <c r="L3849" s="37"/>
      <c r="M3849" s="37"/>
      <c r="N3849" s="33">
        <f>4.41*2</f>
        <v>8.82</v>
      </c>
      <c r="O3849" s="58">
        <f t="shared" si="91"/>
        <v>8.82</v>
      </c>
      <c r="P3849" s="185"/>
    </row>
    <row r="3850" spans="1:17" hidden="1" outlineLevel="2">
      <c r="E3850" s="72"/>
      <c r="F3850" s="21"/>
      <c r="G3850" s="34"/>
      <c r="H3850" s="30" t="s">
        <v>4679</v>
      </c>
      <c r="I3850" s="37"/>
      <c r="J3850" s="37"/>
      <c r="K3850" s="37"/>
      <c r="L3850" s="37"/>
      <c r="M3850" s="37"/>
      <c r="N3850" s="33">
        <v>5.27</v>
      </c>
      <c r="O3850" s="58">
        <f t="shared" si="91"/>
        <v>5.27</v>
      </c>
      <c r="P3850" s="185"/>
    </row>
    <row r="3851" spans="1:17" hidden="1" outlineLevel="2">
      <c r="E3851" s="72"/>
      <c r="F3851" s="21"/>
      <c r="G3851" s="34"/>
      <c r="H3851" s="30" t="s">
        <v>4714</v>
      </c>
      <c r="I3851" s="37"/>
      <c r="J3851" s="37">
        <v>4</v>
      </c>
      <c r="K3851" s="37"/>
      <c r="L3851" s="37"/>
      <c r="M3851" s="37"/>
      <c r="N3851" s="33">
        <v>4.32</v>
      </c>
      <c r="O3851" s="58">
        <f t="shared" si="91"/>
        <v>17.28</v>
      </c>
      <c r="P3851" s="185"/>
    </row>
    <row r="3852" spans="1:17" ht="30" hidden="1" outlineLevel="1">
      <c r="A3852" s="2">
        <v>9</v>
      </c>
      <c r="B3852" s="2">
        <v>5</v>
      </c>
      <c r="C3852" s="2">
        <f>C3843+1</f>
        <v>2</v>
      </c>
      <c r="E3852" s="20" t="str">
        <f>CONCATENATE(A3852,".",B3852,".",C3852)</f>
        <v>9.5.2</v>
      </c>
      <c r="F3852" s="21" t="s">
        <v>4715</v>
      </c>
      <c r="G3852" s="22">
        <v>1294</v>
      </c>
      <c r="H3852" s="23" t="s">
        <v>2983</v>
      </c>
      <c r="I3852" s="24" t="s">
        <v>45</v>
      </c>
      <c r="J3852" s="32"/>
      <c r="K3852" s="10"/>
      <c r="L3852" s="32"/>
      <c r="M3852" s="10"/>
      <c r="N3852" s="10"/>
      <c r="O3852" s="27">
        <f>SUM(O3853:O3868)</f>
        <v>108.65000000000002</v>
      </c>
      <c r="P3852" s="185"/>
      <c r="Q3852" s="185"/>
    </row>
    <row r="3853" spans="1:17" hidden="1" outlineLevel="2">
      <c r="E3853" s="72"/>
      <c r="F3853" s="21"/>
      <c r="G3853" s="22"/>
      <c r="H3853" s="30" t="s">
        <v>4678</v>
      </c>
      <c r="I3853" s="35"/>
      <c r="J3853" s="41"/>
      <c r="K3853" s="33"/>
      <c r="L3853" s="41"/>
      <c r="M3853" s="33"/>
      <c r="N3853" s="33">
        <v>28.46</v>
      </c>
      <c r="O3853" s="58">
        <f t="shared" ref="O3853:O3860" si="92">ROUND(PRODUCT(J3853:N3853),2)</f>
        <v>28.46</v>
      </c>
      <c r="P3853" s="185"/>
      <c r="Q3853" s="185"/>
    </row>
    <row r="3854" spans="1:17" hidden="1" outlineLevel="2">
      <c r="E3854" s="72"/>
      <c r="F3854" s="21"/>
      <c r="G3854" s="22"/>
      <c r="H3854" s="30" t="s">
        <v>4711</v>
      </c>
      <c r="I3854" s="35"/>
      <c r="J3854" s="41"/>
      <c r="K3854" s="33"/>
      <c r="L3854" s="41"/>
      <c r="M3854" s="33"/>
      <c r="N3854" s="33">
        <v>28.46</v>
      </c>
      <c r="O3854" s="58">
        <f t="shared" si="92"/>
        <v>28.46</v>
      </c>
      <c r="P3854" s="185"/>
      <c r="Q3854" s="185"/>
    </row>
    <row r="3855" spans="1:17" hidden="1" outlineLevel="2">
      <c r="E3855" s="72"/>
      <c r="F3855" s="21"/>
      <c r="G3855" s="22"/>
      <c r="H3855" s="30" t="s">
        <v>4682</v>
      </c>
      <c r="I3855" s="35"/>
      <c r="J3855" s="41"/>
      <c r="K3855" s="33"/>
      <c r="L3855" s="41"/>
      <c r="M3855" s="33"/>
      <c r="N3855" s="33">
        <v>11.44</v>
      </c>
      <c r="O3855" s="58">
        <f t="shared" si="92"/>
        <v>11.44</v>
      </c>
      <c r="P3855" s="185"/>
      <c r="Q3855" s="185"/>
    </row>
    <row r="3856" spans="1:17" hidden="1" outlineLevel="2">
      <c r="E3856" s="72"/>
      <c r="F3856" s="21"/>
      <c r="G3856" s="22"/>
      <c r="H3856" s="30" t="s">
        <v>4712</v>
      </c>
      <c r="I3856" s="35"/>
      <c r="J3856" s="41"/>
      <c r="K3856" s="33"/>
      <c r="L3856" s="41"/>
      <c r="M3856" s="33"/>
      <c r="N3856" s="33">
        <v>2.77</v>
      </c>
      <c r="O3856" s="58">
        <f t="shared" si="92"/>
        <v>2.77</v>
      </c>
      <c r="P3856" s="185"/>
      <c r="Q3856" s="185"/>
    </row>
    <row r="3857" spans="1:17" hidden="1" outlineLevel="2">
      <c r="E3857" s="72"/>
      <c r="F3857" s="21"/>
      <c r="G3857" s="22"/>
      <c r="H3857" s="30" t="s">
        <v>4691</v>
      </c>
      <c r="I3857" s="35"/>
      <c r="J3857" s="41"/>
      <c r="K3857" s="33"/>
      <c r="L3857" s="41"/>
      <c r="M3857" s="33"/>
      <c r="N3857" s="33">
        <v>8.58</v>
      </c>
      <c r="O3857" s="58">
        <f t="shared" si="92"/>
        <v>8.58</v>
      </c>
      <c r="P3857" s="185"/>
      <c r="Q3857" s="185"/>
    </row>
    <row r="3858" spans="1:17" hidden="1" outlineLevel="2">
      <c r="E3858" s="72"/>
      <c r="F3858" s="21"/>
      <c r="G3858" s="22"/>
      <c r="H3858" s="30" t="s">
        <v>4713</v>
      </c>
      <c r="I3858" s="37"/>
      <c r="J3858" s="37"/>
      <c r="K3858" s="37"/>
      <c r="L3858" s="37"/>
      <c r="M3858" s="37"/>
      <c r="N3858" s="33">
        <f>4.41*2</f>
        <v>8.82</v>
      </c>
      <c r="O3858" s="58">
        <f t="shared" si="92"/>
        <v>8.82</v>
      </c>
      <c r="P3858" s="185"/>
      <c r="Q3858" s="185"/>
    </row>
    <row r="3859" spans="1:17" hidden="1" outlineLevel="2">
      <c r="E3859" s="72"/>
      <c r="F3859" s="21"/>
      <c r="G3859" s="22"/>
      <c r="H3859" s="30" t="s">
        <v>4679</v>
      </c>
      <c r="I3859" s="37"/>
      <c r="J3859" s="37"/>
      <c r="K3859" s="37"/>
      <c r="L3859" s="37"/>
      <c r="M3859" s="37"/>
      <c r="N3859" s="33">
        <v>5.27</v>
      </c>
      <c r="O3859" s="58">
        <f t="shared" si="92"/>
        <v>5.27</v>
      </c>
      <c r="P3859" s="185"/>
      <c r="Q3859" s="185"/>
    </row>
    <row r="3860" spans="1:17" hidden="1" outlineLevel="2">
      <c r="E3860" s="72"/>
      <c r="F3860" s="21"/>
      <c r="G3860" s="22"/>
      <c r="H3860" s="30" t="s">
        <v>4714</v>
      </c>
      <c r="I3860" s="37"/>
      <c r="J3860" s="37"/>
      <c r="K3860" s="37"/>
      <c r="L3860" s="37"/>
      <c r="M3860" s="37"/>
      <c r="N3860" s="33">
        <v>4.32</v>
      </c>
      <c r="O3860" s="58">
        <f t="shared" si="92"/>
        <v>4.32</v>
      </c>
      <c r="P3860" s="185"/>
      <c r="Q3860" s="185"/>
    </row>
    <row r="3861" spans="1:17" hidden="1" outlineLevel="2">
      <c r="E3861" s="72"/>
      <c r="F3861" s="21"/>
      <c r="G3861" s="34"/>
      <c r="H3861" s="30" t="s">
        <v>4450</v>
      </c>
      <c r="I3861" s="37"/>
      <c r="J3861" s="37"/>
      <c r="K3861" s="37">
        <f>3.6+11.2</f>
        <v>14.799999999999999</v>
      </c>
      <c r="L3861" s="37">
        <v>0.4</v>
      </c>
      <c r="M3861" s="37"/>
      <c r="N3861" s="33"/>
      <c r="O3861" s="58">
        <f t="shared" ref="O3861:O3868" si="93">ROUND(PRODUCT(J3861:N3861),2)</f>
        <v>5.92</v>
      </c>
      <c r="P3861" s="185"/>
    </row>
    <row r="3862" spans="1:17" hidden="1" outlineLevel="2">
      <c r="E3862" s="72"/>
      <c r="F3862" s="21"/>
      <c r="G3862" s="34"/>
      <c r="H3862" s="30" t="str">
        <f>_xlfn.CONCAT(H3861," - VÃO")</f>
        <v>CASA DE BOMBA - VÃO</v>
      </c>
      <c r="I3862" s="62"/>
      <c r="J3862" s="37">
        <v>-1</v>
      </c>
      <c r="K3862" s="37"/>
      <c r="L3862" s="37"/>
      <c r="M3862" s="37"/>
      <c r="N3862" s="38">
        <f>0.9*2.1+0.66*0.46</f>
        <v>2.1936</v>
      </c>
      <c r="O3862" s="58">
        <f t="shared" si="93"/>
        <v>-2.19</v>
      </c>
      <c r="P3862" s="185"/>
    </row>
    <row r="3863" spans="1:17" hidden="1" outlineLevel="2">
      <c r="E3863" s="72"/>
      <c r="F3863" s="21"/>
      <c r="G3863" s="34"/>
      <c r="H3863" s="30" t="s">
        <v>4606</v>
      </c>
      <c r="I3863" s="37"/>
      <c r="J3863" s="37"/>
      <c r="K3863" s="37">
        <v>6.92</v>
      </c>
      <c r="L3863" s="37">
        <v>0.4</v>
      </c>
      <c r="M3863" s="37"/>
      <c r="N3863" s="33"/>
      <c r="O3863" s="58">
        <f t="shared" si="93"/>
        <v>2.77</v>
      </c>
      <c r="P3863" s="185"/>
    </row>
    <row r="3864" spans="1:17" hidden="1" outlineLevel="2">
      <c r="E3864" s="72"/>
      <c r="F3864" s="21"/>
      <c r="G3864" s="34"/>
      <c r="H3864" s="30" t="str">
        <f>_xlfn.CONCAT(H3863," - VÃO")</f>
        <v>GUARITA - VÃO</v>
      </c>
      <c r="I3864" s="62"/>
      <c r="J3864" s="37">
        <v>-1</v>
      </c>
      <c r="K3864" s="37"/>
      <c r="L3864" s="37"/>
      <c r="M3864" s="37"/>
      <c r="N3864" s="38">
        <f>0.9*2.1+0.66*0.46</f>
        <v>2.1936</v>
      </c>
      <c r="O3864" s="58">
        <f t="shared" si="93"/>
        <v>-2.19</v>
      </c>
      <c r="P3864" s="185"/>
    </row>
    <row r="3865" spans="1:17" hidden="1" outlineLevel="2">
      <c r="E3865" s="72"/>
      <c r="F3865" s="21"/>
      <c r="G3865" s="34"/>
      <c r="H3865" s="30" t="s">
        <v>3621</v>
      </c>
      <c r="I3865" s="62"/>
      <c r="J3865" s="37"/>
      <c r="K3865" s="37">
        <f>8.45+8.45</f>
        <v>16.899999999999999</v>
      </c>
      <c r="L3865" s="37">
        <v>0.4</v>
      </c>
      <c r="M3865" s="37"/>
      <c r="N3865" s="33"/>
      <c r="O3865" s="58">
        <f t="shared" si="93"/>
        <v>6.76</v>
      </c>
      <c r="P3865" s="185"/>
    </row>
    <row r="3866" spans="1:17" hidden="1" outlineLevel="2">
      <c r="E3866" s="72"/>
      <c r="F3866" s="21"/>
      <c r="G3866" s="34"/>
      <c r="H3866" s="30" t="str">
        <f>_xlfn.CONCAT(H3865," - VÃO")</f>
        <v>LIXEIRA - VÃO</v>
      </c>
      <c r="I3866" s="62"/>
      <c r="J3866" s="37">
        <v>-1</v>
      </c>
      <c r="K3866" s="37"/>
      <c r="L3866" s="37"/>
      <c r="M3866" s="37"/>
      <c r="N3866" s="38">
        <f>0.9*2.1+0.66*0.46</f>
        <v>2.1936</v>
      </c>
      <c r="O3866" s="58">
        <f t="shared" si="93"/>
        <v>-2.19</v>
      </c>
      <c r="P3866" s="185"/>
    </row>
    <row r="3867" spans="1:17" hidden="1" outlineLevel="2">
      <c r="E3867" s="72"/>
      <c r="F3867" s="21"/>
      <c r="G3867" s="34"/>
      <c r="H3867" s="30" t="s">
        <v>1226</v>
      </c>
      <c r="I3867" s="37"/>
      <c r="J3867" s="37"/>
      <c r="K3867" s="37">
        <v>9.6</v>
      </c>
      <c r="L3867" s="37">
        <v>0.4</v>
      </c>
      <c r="M3867" s="37"/>
      <c r="N3867" s="33"/>
      <c r="O3867" s="58">
        <f t="shared" si="93"/>
        <v>3.84</v>
      </c>
      <c r="P3867" s="185"/>
    </row>
    <row r="3868" spans="1:17" hidden="1" outlineLevel="2">
      <c r="E3868" s="72"/>
      <c r="F3868" s="21"/>
      <c r="G3868" s="34"/>
      <c r="H3868" s="30" t="str">
        <f>_xlfn.CONCAT(H3867," - VÃO")</f>
        <v>GLP - VÃO</v>
      </c>
      <c r="I3868" s="62"/>
      <c r="J3868" s="37">
        <v>-1</v>
      </c>
      <c r="K3868" s="37"/>
      <c r="L3868" s="37"/>
      <c r="M3868" s="37"/>
      <c r="N3868" s="38">
        <f>0.9*2.1+0.66*0.46</f>
        <v>2.1936</v>
      </c>
      <c r="O3868" s="58">
        <f t="shared" si="93"/>
        <v>-2.19</v>
      </c>
      <c r="P3868" s="185"/>
    </row>
    <row r="3869" spans="1:17" ht="30" hidden="1" outlineLevel="1">
      <c r="A3869" s="2">
        <v>9</v>
      </c>
      <c r="B3869" s="2">
        <v>5</v>
      </c>
      <c r="C3869" s="2">
        <f>C3852+1</f>
        <v>3</v>
      </c>
      <c r="E3869" s="20" t="str">
        <f>CONCATENATE(A3869,".",B3869,".",C3869)</f>
        <v>9.5.3</v>
      </c>
      <c r="F3869" s="21" t="s">
        <v>4716</v>
      </c>
      <c r="G3869" s="22" t="s">
        <v>1303</v>
      </c>
      <c r="H3869" s="23" t="s">
        <v>1304</v>
      </c>
      <c r="I3869" s="24" t="s">
        <v>45</v>
      </c>
      <c r="J3869" s="32"/>
      <c r="K3869" s="10"/>
      <c r="L3869" s="32"/>
      <c r="M3869" s="10"/>
      <c r="N3869" s="10"/>
      <c r="O3869" s="27">
        <f>SUM(O3870:O3873)</f>
        <v>53.75</v>
      </c>
      <c r="P3869" s="185"/>
      <c r="Q3869" s="185"/>
    </row>
    <row r="3870" spans="1:17" hidden="1" outlineLevel="2">
      <c r="E3870" s="72"/>
      <c r="F3870" s="21"/>
      <c r="G3870" s="22"/>
      <c r="H3870" s="30" t="s">
        <v>4678</v>
      </c>
      <c r="I3870" s="35"/>
      <c r="J3870" s="41"/>
      <c r="K3870" s="33"/>
      <c r="L3870" s="41"/>
      <c r="M3870" s="33"/>
      <c r="N3870" s="33">
        <v>28.46</v>
      </c>
      <c r="O3870" s="58">
        <f>ROUND(PRODUCT(J3870:N3870),2)</f>
        <v>28.46</v>
      </c>
      <c r="P3870" s="185"/>
      <c r="Q3870" s="185"/>
    </row>
    <row r="3871" spans="1:17" hidden="1" outlineLevel="2">
      <c r="E3871" s="72"/>
      <c r="F3871" s="21"/>
      <c r="G3871" s="22"/>
      <c r="H3871" s="30" t="s">
        <v>4682</v>
      </c>
      <c r="I3871" s="35"/>
      <c r="J3871" s="41"/>
      <c r="K3871" s="33"/>
      <c r="L3871" s="41"/>
      <c r="M3871" s="33"/>
      <c r="N3871" s="33">
        <v>11.44</v>
      </c>
      <c r="O3871" s="58">
        <f>ROUND(PRODUCT(J3871:N3871),2)</f>
        <v>11.44</v>
      </c>
      <c r="P3871" s="185"/>
      <c r="Q3871" s="185"/>
    </row>
    <row r="3872" spans="1:17" hidden="1" outlineLevel="2">
      <c r="E3872" s="72"/>
      <c r="F3872" s="21"/>
      <c r="G3872" s="22"/>
      <c r="H3872" s="30" t="s">
        <v>4691</v>
      </c>
      <c r="I3872" s="35"/>
      <c r="J3872" s="41"/>
      <c r="K3872" s="33"/>
      <c r="L3872" s="41"/>
      <c r="M3872" s="33"/>
      <c r="N3872" s="33">
        <v>8.58</v>
      </c>
      <c r="O3872" s="58">
        <f>ROUND(PRODUCT(J3872:N3872),2)</f>
        <v>8.58</v>
      </c>
      <c r="P3872" s="185"/>
      <c r="Q3872" s="185"/>
    </row>
    <row r="3873" spans="1:17" hidden="1" outlineLevel="2">
      <c r="E3873" s="72"/>
      <c r="F3873" s="21"/>
      <c r="G3873" s="22"/>
      <c r="H3873" s="30" t="s">
        <v>4679</v>
      </c>
      <c r="I3873" s="37"/>
      <c r="J3873" s="37"/>
      <c r="K3873" s="37"/>
      <c r="L3873" s="37"/>
      <c r="M3873" s="37"/>
      <c r="N3873" s="33">
        <v>5.27</v>
      </c>
      <c r="O3873" s="58">
        <f>ROUND(PRODUCT(J3873:N3873),2)</f>
        <v>5.27</v>
      </c>
      <c r="P3873" s="185"/>
    </row>
    <row r="3874" spans="1:17" ht="30" hidden="1" outlineLevel="1">
      <c r="A3874" s="2">
        <v>9</v>
      </c>
      <c r="B3874" s="2">
        <v>5</v>
      </c>
      <c r="C3874" s="2">
        <f>1+C3869</f>
        <v>4</v>
      </c>
      <c r="E3874" s="20" t="str">
        <f>CONCATENATE(A3874,".",B3874,".",C3874)</f>
        <v>9.5.4</v>
      </c>
      <c r="F3874" s="21" t="s">
        <v>4717</v>
      </c>
      <c r="G3874" s="22">
        <v>98557</v>
      </c>
      <c r="H3874" s="23" t="s">
        <v>202</v>
      </c>
      <c r="I3874" s="24" t="s">
        <v>45</v>
      </c>
      <c r="J3874" s="32"/>
      <c r="K3874" s="10"/>
      <c r="L3874" s="32"/>
      <c r="M3874" s="10"/>
      <c r="N3874" s="10"/>
      <c r="O3874" s="11">
        <f>SUM(O3875:O3878)</f>
        <v>185.9</v>
      </c>
      <c r="P3874" s="185"/>
      <c r="Q3874" s="185"/>
    </row>
    <row r="3875" spans="1:17" hidden="1" outlineLevel="2">
      <c r="E3875" s="20"/>
      <c r="F3875" s="21"/>
      <c r="G3875" s="34"/>
      <c r="H3875" s="30" t="s">
        <v>4606</v>
      </c>
      <c r="I3875" s="35"/>
      <c r="J3875" s="25"/>
      <c r="K3875" s="33"/>
      <c r="L3875" s="41"/>
      <c r="M3875" s="33"/>
      <c r="N3875" s="33">
        <v>25.35</v>
      </c>
      <c r="O3875" s="31">
        <f>ROUND(PRODUCT(J3875:N3875),2)</f>
        <v>25.35</v>
      </c>
      <c r="P3875" s="185"/>
      <c r="Q3875" s="185"/>
    </row>
    <row r="3876" spans="1:17" hidden="1" outlineLevel="2">
      <c r="E3876" s="20"/>
      <c r="F3876" s="21"/>
      <c r="G3876" s="34"/>
      <c r="H3876" s="30" t="s">
        <v>3621</v>
      </c>
      <c r="I3876" s="35"/>
      <c r="J3876" s="25"/>
      <c r="K3876" s="33"/>
      <c r="L3876" s="41"/>
      <c r="M3876" s="33"/>
      <c r="N3876" s="33">
        <v>17.809999999999999</v>
      </c>
      <c r="O3876" s="31">
        <f>ROUND(PRODUCT(J3876:N3876),2)</f>
        <v>17.809999999999999</v>
      </c>
      <c r="P3876" s="185"/>
      <c r="Q3876" s="185"/>
    </row>
    <row r="3877" spans="1:17" hidden="1" outlineLevel="2">
      <c r="E3877" s="20"/>
      <c r="F3877" s="21"/>
      <c r="G3877" s="34"/>
      <c r="H3877" s="30" t="s">
        <v>4718</v>
      </c>
      <c r="I3877" s="35"/>
      <c r="J3877" s="25"/>
      <c r="K3877" s="33"/>
      <c r="L3877" s="41"/>
      <c r="M3877" s="33"/>
      <c r="N3877" s="33">
        <v>11.96</v>
      </c>
      <c r="O3877" s="31">
        <f>ROUND(PRODUCT(J3877:N3877),2)</f>
        <v>11.96</v>
      </c>
      <c r="P3877" s="185"/>
      <c r="Q3877" s="185"/>
    </row>
    <row r="3878" spans="1:17" hidden="1" outlineLevel="2">
      <c r="E3878" s="20"/>
      <c r="F3878" s="21"/>
      <c r="G3878" s="34"/>
      <c r="H3878" s="30" t="s">
        <v>4719</v>
      </c>
      <c r="I3878" s="35"/>
      <c r="J3878" s="37"/>
      <c r="K3878" s="33"/>
      <c r="L3878" s="41"/>
      <c r="M3878" s="33"/>
      <c r="N3878" s="33">
        <f>24.12+106.66</f>
        <v>130.78</v>
      </c>
      <c r="O3878" s="31">
        <f>ROUND(PRODUCT(J3878:N3878),2)</f>
        <v>130.78</v>
      </c>
      <c r="P3878" s="185"/>
      <c r="Q3878" s="185"/>
    </row>
    <row r="3879" spans="1:17" collapsed="1">
      <c r="A3879" s="2">
        <v>9</v>
      </c>
      <c r="B3879" s="2">
        <v>6</v>
      </c>
      <c r="E3879" s="42" t="str">
        <f>CONCATENATE(A3879,".",B3879)</f>
        <v>9.6</v>
      </c>
      <c r="F3879" s="45" t="s">
        <v>4720</v>
      </c>
      <c r="G3879" s="13"/>
      <c r="H3879" s="14" t="s">
        <v>204</v>
      </c>
      <c r="I3879" s="13"/>
      <c r="J3879" s="16"/>
      <c r="K3879" s="17"/>
      <c r="L3879" s="16"/>
      <c r="M3879" s="17"/>
      <c r="N3879" s="18"/>
      <c r="O3879" s="13"/>
      <c r="P3879" s="185"/>
      <c r="Q3879" s="185"/>
    </row>
    <row r="3880" spans="1:17" ht="45" hidden="1" outlineLevel="1">
      <c r="A3880" s="2">
        <v>9</v>
      </c>
      <c r="B3880" s="2">
        <v>6</v>
      </c>
      <c r="C3880" s="2">
        <v>1</v>
      </c>
      <c r="E3880" s="20" t="str">
        <f>CONCATENATE(A3880,".",B3880,".",C3880)</f>
        <v>9.6.1</v>
      </c>
      <c r="F3880" s="21" t="s">
        <v>4721</v>
      </c>
      <c r="G3880" s="22">
        <v>97084</v>
      </c>
      <c r="H3880" s="23" t="s">
        <v>207</v>
      </c>
      <c r="I3880" s="22" t="s">
        <v>45</v>
      </c>
      <c r="J3880" s="32"/>
      <c r="K3880" s="10"/>
      <c r="L3880" s="32"/>
      <c r="M3880" s="10"/>
      <c r="N3880" s="33"/>
      <c r="O3880" s="27">
        <f>SUM(O3881:O3884)</f>
        <v>48.769999999999996</v>
      </c>
      <c r="P3880" s="185"/>
      <c r="Q3880" s="185"/>
    </row>
    <row r="3881" spans="1:17" hidden="1" outlineLevel="2">
      <c r="E3881" s="59"/>
      <c r="F3881" s="60"/>
      <c r="G3881" s="34"/>
      <c r="H3881" s="30" t="s">
        <v>4450</v>
      </c>
      <c r="I3881" s="35"/>
      <c r="J3881" s="41"/>
      <c r="K3881" s="33"/>
      <c r="L3881" s="41"/>
      <c r="M3881" s="33"/>
      <c r="N3881" s="33">
        <v>25.41</v>
      </c>
      <c r="O3881" s="58">
        <f>ROUND(PRODUCT(J3881:N3881),2)</f>
        <v>25.41</v>
      </c>
      <c r="P3881" s="185"/>
      <c r="Q3881" s="185"/>
    </row>
    <row r="3882" spans="1:17" hidden="1" outlineLevel="2">
      <c r="E3882" s="59"/>
      <c r="F3882" s="60"/>
      <c r="G3882" s="34"/>
      <c r="H3882" s="30" t="s">
        <v>4606</v>
      </c>
      <c r="I3882" s="35"/>
      <c r="J3882" s="41"/>
      <c r="K3882" s="33"/>
      <c r="L3882" s="41"/>
      <c r="M3882" s="33"/>
      <c r="N3882" s="33">
        <f>3.74+2.77+4.27</f>
        <v>10.78</v>
      </c>
      <c r="O3882" s="58">
        <f>ROUND(PRODUCT(J3882:N3882),2)</f>
        <v>10.78</v>
      </c>
      <c r="P3882" s="185"/>
      <c r="Q3882" s="185"/>
    </row>
    <row r="3883" spans="1:17" hidden="1" outlineLevel="2">
      <c r="E3883" s="59"/>
      <c r="F3883" s="60"/>
      <c r="G3883" s="34"/>
      <c r="H3883" s="30" t="s">
        <v>4722</v>
      </c>
      <c r="I3883" s="35"/>
      <c r="J3883" s="41"/>
      <c r="K3883" s="33"/>
      <c r="L3883" s="41"/>
      <c r="M3883" s="33"/>
      <c r="N3883" s="33">
        <f>4.13*2</f>
        <v>8.26</v>
      </c>
      <c r="O3883" s="58">
        <f>ROUND(PRODUCT(J3883:N3883),2)</f>
        <v>8.26</v>
      </c>
      <c r="P3883" s="185"/>
      <c r="Q3883" s="185"/>
    </row>
    <row r="3884" spans="1:17" hidden="1" outlineLevel="2">
      <c r="E3884" s="59"/>
      <c r="F3884" s="60"/>
      <c r="G3884" s="34"/>
      <c r="H3884" s="30" t="s">
        <v>1226</v>
      </c>
      <c r="I3884" s="35"/>
      <c r="J3884" s="41"/>
      <c r="K3884" s="33"/>
      <c r="L3884" s="41"/>
      <c r="M3884" s="33"/>
      <c r="N3884" s="33">
        <v>4.32</v>
      </c>
      <c r="O3884" s="58">
        <f>ROUND(PRODUCT(J3884:N3884),2)</f>
        <v>4.32</v>
      </c>
      <c r="P3884" s="185"/>
      <c r="Q3884" s="185"/>
    </row>
    <row r="3885" spans="1:17" ht="30" hidden="1" outlineLevel="1">
      <c r="A3885" s="2">
        <v>9</v>
      </c>
      <c r="B3885" s="2">
        <v>6</v>
      </c>
      <c r="C3885" s="2">
        <f>1+C3880</f>
        <v>2</v>
      </c>
      <c r="E3885" s="20" t="str">
        <f>CONCATENATE(A3885,".",B3885,".",C3885)</f>
        <v>9.6.2</v>
      </c>
      <c r="F3885" s="21" t="s">
        <v>4723</v>
      </c>
      <c r="G3885" s="22">
        <v>97087</v>
      </c>
      <c r="H3885" s="23" t="s">
        <v>210</v>
      </c>
      <c r="I3885" s="22" t="s">
        <v>45</v>
      </c>
      <c r="J3885" s="32"/>
      <c r="K3885" s="10"/>
      <c r="L3885" s="32"/>
      <c r="M3885" s="10"/>
      <c r="N3885" s="33"/>
      <c r="O3885" s="27">
        <f>SUM(O3886:O3889)</f>
        <v>48.769999999999996</v>
      </c>
      <c r="P3885" s="185"/>
      <c r="Q3885" s="185"/>
    </row>
    <row r="3886" spans="1:17" hidden="1" outlineLevel="2">
      <c r="E3886" s="59"/>
      <c r="F3886" s="60"/>
      <c r="G3886" s="34"/>
      <c r="H3886" s="30" t="s">
        <v>4450</v>
      </c>
      <c r="I3886" s="35"/>
      <c r="J3886" s="41"/>
      <c r="K3886" s="33"/>
      <c r="L3886" s="41"/>
      <c r="M3886" s="33"/>
      <c r="N3886" s="33">
        <v>25.41</v>
      </c>
      <c r="O3886" s="58">
        <f>ROUND(PRODUCT(J3886:N3886),2)</f>
        <v>25.41</v>
      </c>
      <c r="P3886" s="185"/>
      <c r="Q3886" s="185"/>
    </row>
    <row r="3887" spans="1:17" hidden="1" outlineLevel="2">
      <c r="E3887" s="59"/>
      <c r="F3887" s="60"/>
      <c r="G3887" s="34"/>
      <c r="H3887" s="30" t="s">
        <v>4606</v>
      </c>
      <c r="I3887" s="35"/>
      <c r="J3887" s="41"/>
      <c r="K3887" s="33"/>
      <c r="L3887" s="41"/>
      <c r="M3887" s="33"/>
      <c r="N3887" s="33">
        <f>3.74+2.77+4.27</f>
        <v>10.78</v>
      </c>
      <c r="O3887" s="58">
        <f>ROUND(PRODUCT(J3887:N3887),2)</f>
        <v>10.78</v>
      </c>
      <c r="P3887" s="185"/>
      <c r="Q3887" s="185"/>
    </row>
    <row r="3888" spans="1:17" hidden="1" outlineLevel="2">
      <c r="E3888" s="59"/>
      <c r="F3888" s="60"/>
      <c r="G3888" s="34"/>
      <c r="H3888" s="30" t="s">
        <v>4722</v>
      </c>
      <c r="I3888" s="35"/>
      <c r="J3888" s="41"/>
      <c r="K3888" s="33"/>
      <c r="L3888" s="41"/>
      <c r="M3888" s="33"/>
      <c r="N3888" s="33">
        <f>4.13*2</f>
        <v>8.26</v>
      </c>
      <c r="O3888" s="58">
        <f>ROUND(PRODUCT(J3888:N3888),2)</f>
        <v>8.26</v>
      </c>
      <c r="P3888" s="185"/>
      <c r="Q3888" s="185"/>
    </row>
    <row r="3889" spans="1:17" hidden="1" outlineLevel="2">
      <c r="E3889" s="59"/>
      <c r="F3889" s="60"/>
      <c r="G3889" s="34"/>
      <c r="H3889" s="30" t="s">
        <v>1226</v>
      </c>
      <c r="I3889" s="35"/>
      <c r="J3889" s="41"/>
      <c r="K3889" s="33"/>
      <c r="L3889" s="41"/>
      <c r="M3889" s="33"/>
      <c r="N3889" s="33">
        <v>4.32</v>
      </c>
      <c r="O3889" s="58">
        <f>ROUND(PRODUCT(J3889:N3889),2)</f>
        <v>4.32</v>
      </c>
      <c r="P3889" s="185"/>
      <c r="Q3889" s="185"/>
    </row>
    <row r="3890" spans="1:17" ht="30" hidden="1" outlineLevel="1">
      <c r="A3890" s="2">
        <v>9</v>
      </c>
      <c r="B3890" s="2">
        <v>6</v>
      </c>
      <c r="C3890" s="2">
        <f>1+C3885</f>
        <v>3</v>
      </c>
      <c r="E3890" s="20" t="str">
        <f>CONCATENATE(A3890,".",B3890,".",C3890)</f>
        <v>9.6.3</v>
      </c>
      <c r="F3890" s="21" t="s">
        <v>4724</v>
      </c>
      <c r="G3890" s="22" t="s">
        <v>212</v>
      </c>
      <c r="H3890" s="23" t="s">
        <v>213</v>
      </c>
      <c r="I3890" s="24" t="s">
        <v>45</v>
      </c>
      <c r="J3890" s="32"/>
      <c r="K3890" s="10"/>
      <c r="L3890" s="32"/>
      <c r="M3890" s="10"/>
      <c r="N3890" s="33"/>
      <c r="O3890" s="27">
        <f>SUM(O3891:O3894)</f>
        <v>48.769999999999996</v>
      </c>
      <c r="P3890" s="185"/>
      <c r="Q3890" s="185"/>
    </row>
    <row r="3891" spans="1:17" hidden="1" outlineLevel="2">
      <c r="E3891" s="29"/>
      <c r="F3891" s="21"/>
      <c r="G3891" s="22"/>
      <c r="H3891" s="30" t="s">
        <v>4450</v>
      </c>
      <c r="I3891" s="35"/>
      <c r="J3891" s="41"/>
      <c r="K3891" s="33"/>
      <c r="L3891" s="41"/>
      <c r="M3891" s="33"/>
      <c r="N3891" s="33">
        <v>25.41</v>
      </c>
      <c r="O3891" s="58">
        <f>ROUND(PRODUCT(J3891:N3891),2)</f>
        <v>25.41</v>
      </c>
      <c r="P3891" s="185"/>
      <c r="Q3891" s="185"/>
    </row>
    <row r="3892" spans="1:17" hidden="1" outlineLevel="2">
      <c r="E3892" s="29"/>
      <c r="F3892" s="21"/>
      <c r="G3892" s="22"/>
      <c r="H3892" s="30" t="s">
        <v>4606</v>
      </c>
      <c r="I3892" s="35"/>
      <c r="J3892" s="41"/>
      <c r="K3892" s="33"/>
      <c r="L3892" s="41"/>
      <c r="M3892" s="33"/>
      <c r="N3892" s="33">
        <f>3.74+2.77+4.27</f>
        <v>10.78</v>
      </c>
      <c r="O3892" s="58">
        <f>ROUND(PRODUCT(J3892:N3892),2)</f>
        <v>10.78</v>
      </c>
      <c r="P3892" s="185"/>
      <c r="Q3892" s="185"/>
    </row>
    <row r="3893" spans="1:17" hidden="1" outlineLevel="2">
      <c r="E3893" s="29"/>
      <c r="F3893" s="21"/>
      <c r="G3893" s="22"/>
      <c r="H3893" s="30" t="s">
        <v>4722</v>
      </c>
      <c r="I3893" s="35"/>
      <c r="J3893" s="41"/>
      <c r="K3893" s="33"/>
      <c r="L3893" s="41"/>
      <c r="M3893" s="33"/>
      <c r="N3893" s="33">
        <f>4.13*2</f>
        <v>8.26</v>
      </c>
      <c r="O3893" s="58">
        <f>ROUND(PRODUCT(J3893:N3893),2)</f>
        <v>8.26</v>
      </c>
      <c r="P3893" s="185"/>
      <c r="Q3893" s="185"/>
    </row>
    <row r="3894" spans="1:17" ht="12.6" hidden="1" customHeight="1" outlineLevel="2">
      <c r="E3894" s="29"/>
      <c r="F3894" s="21"/>
      <c r="G3894" s="22"/>
      <c r="H3894" s="30" t="s">
        <v>1226</v>
      </c>
      <c r="I3894" s="35"/>
      <c r="J3894" s="41"/>
      <c r="K3894" s="33"/>
      <c r="L3894" s="41"/>
      <c r="M3894" s="33"/>
      <c r="N3894" s="33">
        <v>4.32</v>
      </c>
      <c r="O3894" s="58">
        <f>ROUND(PRODUCT(J3894:N3894),2)</f>
        <v>4.32</v>
      </c>
      <c r="P3894" s="185"/>
      <c r="Q3894" s="185"/>
    </row>
    <row r="3895" spans="1:17" ht="45" hidden="1" outlineLevel="1">
      <c r="A3895" s="2">
        <v>9</v>
      </c>
      <c r="B3895" s="2">
        <v>6</v>
      </c>
      <c r="C3895" s="2" t="e">
        <f>#REF!+1</f>
        <v>#REF!</v>
      </c>
      <c r="E3895" s="20" t="e">
        <f>CONCATENATE(A3895,".",B3895,".",C3895)</f>
        <v>#REF!</v>
      </c>
      <c r="F3895" s="21" t="s">
        <v>4725</v>
      </c>
      <c r="G3895" s="22" t="s">
        <v>218</v>
      </c>
      <c r="H3895" s="23" t="s">
        <v>219</v>
      </c>
      <c r="I3895" s="24" t="s">
        <v>45</v>
      </c>
      <c r="J3895" s="32"/>
      <c r="K3895" s="10"/>
      <c r="L3895" s="32"/>
      <c r="M3895" s="10"/>
      <c r="N3895" s="33"/>
      <c r="O3895" s="27">
        <f>SUM(O3896:O3899)</f>
        <v>48.769999999999996</v>
      </c>
      <c r="P3895" s="185"/>
      <c r="Q3895" s="185"/>
    </row>
    <row r="3896" spans="1:17" hidden="1" outlineLevel="2">
      <c r="E3896" s="29"/>
      <c r="F3896" s="21"/>
      <c r="G3896" s="22"/>
      <c r="H3896" s="30" t="s">
        <v>4450</v>
      </c>
      <c r="I3896" s="35"/>
      <c r="J3896" s="41"/>
      <c r="K3896" s="33"/>
      <c r="L3896" s="41"/>
      <c r="M3896" s="33"/>
      <c r="N3896" s="33">
        <v>25.41</v>
      </c>
      <c r="O3896" s="58">
        <f>ROUND(PRODUCT(J3896:N3896),2)</f>
        <v>25.41</v>
      </c>
      <c r="P3896" s="185"/>
      <c r="Q3896" s="185"/>
    </row>
    <row r="3897" spans="1:17" hidden="1" outlineLevel="2">
      <c r="E3897" s="29"/>
      <c r="F3897" s="21"/>
      <c r="G3897" s="22"/>
      <c r="H3897" s="30" t="s">
        <v>4606</v>
      </c>
      <c r="I3897" s="35"/>
      <c r="J3897" s="41"/>
      <c r="K3897" s="33"/>
      <c r="L3897" s="41"/>
      <c r="M3897" s="33"/>
      <c r="N3897" s="33">
        <f>3.74+2.77+4.27</f>
        <v>10.78</v>
      </c>
      <c r="O3897" s="58">
        <f>ROUND(PRODUCT(J3897:N3897),2)</f>
        <v>10.78</v>
      </c>
      <c r="P3897" s="185"/>
      <c r="Q3897" s="185"/>
    </row>
    <row r="3898" spans="1:17" hidden="1" outlineLevel="2">
      <c r="E3898" s="29"/>
      <c r="F3898" s="21"/>
      <c r="G3898" s="22"/>
      <c r="H3898" s="30" t="s">
        <v>4722</v>
      </c>
      <c r="I3898" s="35"/>
      <c r="J3898" s="41"/>
      <c r="K3898" s="33"/>
      <c r="L3898" s="41"/>
      <c r="M3898" s="33"/>
      <c r="N3898" s="33">
        <f>4.13*2</f>
        <v>8.26</v>
      </c>
      <c r="O3898" s="58">
        <f>ROUND(PRODUCT(J3898:N3898),2)</f>
        <v>8.26</v>
      </c>
      <c r="P3898" s="185"/>
      <c r="Q3898" s="185"/>
    </row>
    <row r="3899" spans="1:17" hidden="1" outlineLevel="2">
      <c r="E3899" s="72"/>
      <c r="F3899" s="21"/>
      <c r="G3899" s="34"/>
      <c r="H3899" s="30" t="s">
        <v>1226</v>
      </c>
      <c r="I3899" s="35"/>
      <c r="J3899" s="41"/>
      <c r="K3899" s="33"/>
      <c r="L3899" s="41"/>
      <c r="M3899" s="33"/>
      <c r="N3899" s="33">
        <v>4.32</v>
      </c>
      <c r="O3899" s="58">
        <f>ROUND(PRODUCT(J3899:N3899),2)</f>
        <v>4.32</v>
      </c>
      <c r="P3899" s="185"/>
    </row>
    <row r="3900" spans="1:17" ht="45" hidden="1" outlineLevel="1">
      <c r="A3900" s="2">
        <v>9</v>
      </c>
      <c r="B3900" s="2">
        <v>6</v>
      </c>
      <c r="C3900" s="2" t="e">
        <f>C3895+1</f>
        <v>#REF!</v>
      </c>
      <c r="E3900" s="20" t="e">
        <f>CONCATENATE(A3900,".",B3900,".",C3900)</f>
        <v>#REF!</v>
      </c>
      <c r="F3900" s="21" t="s">
        <v>4726</v>
      </c>
      <c r="G3900" s="22" t="s">
        <v>1312</v>
      </c>
      <c r="H3900" s="23" t="s">
        <v>4136</v>
      </c>
      <c r="I3900" s="24" t="s">
        <v>45</v>
      </c>
      <c r="J3900" s="32"/>
      <c r="K3900" s="10"/>
      <c r="L3900" s="32"/>
      <c r="M3900" s="10"/>
      <c r="N3900" s="33"/>
      <c r="O3900" s="27">
        <f>SUM(O3901:O3902)</f>
        <v>11.03</v>
      </c>
      <c r="P3900" s="185"/>
      <c r="Q3900" s="185"/>
    </row>
    <row r="3901" spans="1:17" hidden="1" outlineLevel="2">
      <c r="E3901" s="29"/>
      <c r="F3901" s="21"/>
      <c r="G3901" s="22"/>
      <c r="H3901" s="30" t="s">
        <v>4694</v>
      </c>
      <c r="I3901" s="35"/>
      <c r="J3901" s="41"/>
      <c r="K3901" s="33"/>
      <c r="L3901" s="41"/>
      <c r="M3901" s="33"/>
      <c r="N3901" s="33">
        <v>2.77</v>
      </c>
      <c r="O3901" s="58">
        <f>ROUND(PRODUCT(J3901:N3901),2)</f>
        <v>2.77</v>
      </c>
      <c r="P3901" s="185"/>
      <c r="Q3901" s="185"/>
    </row>
    <row r="3902" spans="1:17" hidden="1" outlineLevel="2">
      <c r="E3902" s="29"/>
      <c r="F3902" s="21"/>
      <c r="G3902" s="22"/>
      <c r="H3902" s="30" t="s">
        <v>3621</v>
      </c>
      <c r="I3902" s="35"/>
      <c r="J3902" s="41"/>
      <c r="K3902" s="33"/>
      <c r="L3902" s="41"/>
      <c r="M3902" s="33"/>
      <c r="N3902" s="33">
        <f>4.13+4.13</f>
        <v>8.26</v>
      </c>
      <c r="O3902" s="58">
        <f>ROUND(PRODUCT(J3902:N3902),2)</f>
        <v>8.26</v>
      </c>
      <c r="P3902" s="185"/>
      <c r="Q3902" s="185"/>
    </row>
    <row r="3903" spans="1:17" ht="60" hidden="1" outlineLevel="1">
      <c r="A3903" s="2">
        <v>9</v>
      </c>
      <c r="B3903" s="2">
        <v>6</v>
      </c>
      <c r="C3903" s="2" t="e">
        <f>#REF!+1</f>
        <v>#REF!</v>
      </c>
      <c r="E3903" s="20" t="e">
        <f>CONCATENATE(A3903,".",B3903,".",C3903)</f>
        <v>#REF!</v>
      </c>
      <c r="F3903" s="21" t="s">
        <v>4727</v>
      </c>
      <c r="G3903" s="22" t="s">
        <v>230</v>
      </c>
      <c r="H3903" s="23" t="s">
        <v>231</v>
      </c>
      <c r="I3903" s="24" t="s">
        <v>45</v>
      </c>
      <c r="J3903" s="32"/>
      <c r="K3903" s="10"/>
      <c r="L3903" s="32"/>
      <c r="M3903" s="10"/>
      <c r="N3903" s="33"/>
      <c r="O3903" s="27">
        <f>SUM(O3904:O3906)</f>
        <v>14.290000000000001</v>
      </c>
      <c r="P3903" s="185"/>
      <c r="Q3903" s="185"/>
    </row>
    <row r="3904" spans="1:17" hidden="1" outlineLevel="2">
      <c r="E3904" s="29"/>
      <c r="F3904" s="21"/>
      <c r="G3904" s="22"/>
      <c r="H3904" s="30" t="s">
        <v>4450</v>
      </c>
      <c r="I3904" s="35"/>
      <c r="J3904" s="41"/>
      <c r="K3904" s="33"/>
      <c r="L3904" s="41"/>
      <c r="M3904" s="33"/>
      <c r="N3904" s="33">
        <v>6.15</v>
      </c>
      <c r="O3904" s="58">
        <f>ROUND(PRODUCT(J3904:N3904),2)</f>
        <v>6.15</v>
      </c>
      <c r="P3904" s="185"/>
      <c r="Q3904" s="185"/>
    </row>
    <row r="3905" spans="1:17" hidden="1" outlineLevel="2">
      <c r="E3905" s="29"/>
      <c r="F3905" s="21"/>
      <c r="G3905" s="22"/>
      <c r="H3905" s="30" t="s">
        <v>4606</v>
      </c>
      <c r="I3905" s="35"/>
      <c r="J3905" s="41"/>
      <c r="K3905" s="33"/>
      <c r="L3905" s="41"/>
      <c r="M3905" s="33"/>
      <c r="N3905" s="33">
        <v>3.74</v>
      </c>
      <c r="O3905" s="58">
        <f>ROUND(PRODUCT(J3905:N3905),2)</f>
        <v>3.74</v>
      </c>
      <c r="P3905" s="185"/>
      <c r="Q3905" s="185"/>
    </row>
    <row r="3906" spans="1:17" hidden="1" outlineLevel="2">
      <c r="E3906" s="29"/>
      <c r="F3906" s="21"/>
      <c r="G3906" s="22"/>
      <c r="H3906" s="30" t="s">
        <v>2908</v>
      </c>
      <c r="I3906" s="35"/>
      <c r="J3906" s="41"/>
      <c r="K3906" s="33"/>
      <c r="L3906" s="41"/>
      <c r="M3906" s="33"/>
      <c r="N3906" s="33">
        <v>4.4000000000000004</v>
      </c>
      <c r="O3906" s="58">
        <f>ROUND(PRODUCT(J3906:N3906),2)</f>
        <v>4.4000000000000004</v>
      </c>
      <c r="P3906" s="185"/>
      <c r="Q3906" s="185"/>
    </row>
    <row r="3907" spans="1:17" ht="30" hidden="1" outlineLevel="1">
      <c r="A3907" s="2">
        <v>9</v>
      </c>
      <c r="B3907" s="2">
        <v>6</v>
      </c>
      <c r="C3907" s="2" t="e">
        <f>1+C3903</f>
        <v>#REF!</v>
      </c>
      <c r="E3907" s="20" t="e">
        <f>CONCATENATE(A3907,".",B3907,".",C3907)</f>
        <v>#REF!</v>
      </c>
      <c r="F3907" s="21" t="s">
        <v>4728</v>
      </c>
      <c r="G3907" s="22">
        <v>101749</v>
      </c>
      <c r="H3907" s="23" t="s">
        <v>240</v>
      </c>
      <c r="I3907" s="24" t="s">
        <v>144</v>
      </c>
      <c r="J3907" s="32"/>
      <c r="K3907" s="10"/>
      <c r="L3907" s="32"/>
      <c r="M3907" s="10"/>
      <c r="N3907" s="33"/>
      <c r="O3907" s="27">
        <f>SUM(O3908:O3908)</f>
        <v>3.78</v>
      </c>
      <c r="P3907" s="185"/>
      <c r="Q3907" s="185"/>
    </row>
    <row r="3908" spans="1:17" hidden="1" outlineLevel="2">
      <c r="E3908" s="20"/>
      <c r="F3908" s="21"/>
      <c r="G3908" s="22"/>
      <c r="H3908" s="30" t="s">
        <v>1226</v>
      </c>
      <c r="I3908" s="35"/>
      <c r="J3908" s="41"/>
      <c r="K3908" s="33"/>
      <c r="L3908" s="41"/>
      <c r="M3908" s="33"/>
      <c r="N3908" s="33">
        <v>3.78</v>
      </c>
      <c r="O3908" s="58">
        <f>ROUND(PRODUCT(J3908:N3908),2)</f>
        <v>3.78</v>
      </c>
      <c r="P3908" s="185"/>
      <c r="Q3908" s="185"/>
    </row>
    <row r="3909" spans="1:17" collapsed="1">
      <c r="A3909" s="2">
        <v>9</v>
      </c>
      <c r="B3909" s="2">
        <v>7</v>
      </c>
      <c r="E3909" s="42" t="str">
        <f>CONCATENATE(A3909,".",B3909)</f>
        <v>9.7</v>
      </c>
      <c r="F3909" s="45" t="s">
        <v>4729</v>
      </c>
      <c r="G3909" s="13"/>
      <c r="H3909" s="14" t="s">
        <v>257</v>
      </c>
      <c r="I3909" s="15"/>
      <c r="J3909" s="16"/>
      <c r="K3909" s="17"/>
      <c r="L3909" s="16"/>
      <c r="M3909" s="17"/>
      <c r="N3909" s="18"/>
      <c r="O3909" s="19"/>
      <c r="P3909" s="185"/>
      <c r="Q3909" s="185"/>
    </row>
    <row r="3910" spans="1:17" ht="45" hidden="1" outlineLevel="1">
      <c r="A3910" s="2">
        <v>9</v>
      </c>
      <c r="B3910" s="2">
        <v>7</v>
      </c>
      <c r="C3910" s="2">
        <v>1</v>
      </c>
      <c r="E3910" s="20" t="str">
        <f>CONCATENATE(A3910,".",B3910,".",C3910)</f>
        <v>9.7.1</v>
      </c>
      <c r="F3910" s="21" t="s">
        <v>4730</v>
      </c>
      <c r="G3910" s="22" t="s">
        <v>259</v>
      </c>
      <c r="H3910" s="23" t="s">
        <v>3067</v>
      </c>
      <c r="I3910" s="24" t="s">
        <v>45</v>
      </c>
      <c r="J3910" s="32"/>
      <c r="K3910" s="10"/>
      <c r="L3910" s="32"/>
      <c r="M3910" s="10"/>
      <c r="N3910" s="33"/>
      <c r="O3910" s="11">
        <f>SUM(O3911:O3922)</f>
        <v>164.4</v>
      </c>
      <c r="P3910" s="185"/>
      <c r="Q3910" s="185"/>
    </row>
    <row r="3911" spans="1:17" hidden="1" outlineLevel="2">
      <c r="E3911" s="29"/>
      <c r="F3911" s="21"/>
      <c r="G3911" s="34"/>
      <c r="H3911" s="30" t="s">
        <v>4450</v>
      </c>
      <c r="I3911" s="35"/>
      <c r="J3911" s="37"/>
      <c r="K3911" s="37">
        <v>14.2</v>
      </c>
      <c r="L3911" s="37"/>
      <c r="M3911" s="37">
        <v>4.75</v>
      </c>
      <c r="N3911" s="38"/>
      <c r="O3911" s="37">
        <f t="shared" ref="O3911:O3922" si="94">ROUND(PRODUCT(J3911:N3911),2)</f>
        <v>67.45</v>
      </c>
      <c r="P3911" s="185"/>
    </row>
    <row r="3912" spans="1:17" hidden="1" outlineLevel="2">
      <c r="E3912" s="29"/>
      <c r="F3912" s="21"/>
      <c r="G3912" s="34"/>
      <c r="H3912" s="30" t="str">
        <f>_xlfn.CONCAT(H3911," - VÃO")</f>
        <v>CASA DE BOMBA - VÃO</v>
      </c>
      <c r="I3912" s="35"/>
      <c r="J3912" s="37">
        <v>-1</v>
      </c>
      <c r="K3912" s="37"/>
      <c r="L3912" s="37"/>
      <c r="M3912" s="37"/>
      <c r="N3912" s="38">
        <f>1.2*1.8</f>
        <v>2.16</v>
      </c>
      <c r="O3912" s="37">
        <f t="shared" si="94"/>
        <v>-2.16</v>
      </c>
      <c r="P3912" s="185"/>
    </row>
    <row r="3913" spans="1:17" hidden="1" outlineLevel="2">
      <c r="E3913" s="29"/>
      <c r="F3913" s="21"/>
      <c r="G3913" s="34"/>
      <c r="H3913" s="30" t="s">
        <v>4606</v>
      </c>
      <c r="I3913" s="35"/>
      <c r="J3913" s="37"/>
      <c r="K3913" s="37">
        <v>7.8</v>
      </c>
      <c r="L3913" s="37"/>
      <c r="M3913" s="37">
        <v>2.5499999999999998</v>
      </c>
      <c r="N3913" s="38"/>
      <c r="O3913" s="37">
        <f t="shared" si="94"/>
        <v>19.89</v>
      </c>
      <c r="P3913" s="185"/>
    </row>
    <row r="3914" spans="1:17" hidden="1" outlineLevel="2">
      <c r="E3914" s="29"/>
      <c r="F3914" s="21"/>
      <c r="G3914" s="34"/>
      <c r="H3914" s="30" t="str">
        <f>_xlfn.CONCAT(H3913," - VÃO")</f>
        <v>GUARITA - VÃO</v>
      </c>
      <c r="I3914" s="35"/>
      <c r="J3914" s="37">
        <v>-1</v>
      </c>
      <c r="K3914" s="37"/>
      <c r="L3914" s="37"/>
      <c r="M3914" s="37"/>
      <c r="N3914" s="38">
        <f>2*0.6*1.1+2.2*1.1+0.9*2.1</f>
        <v>5.6300000000000008</v>
      </c>
      <c r="O3914" s="37">
        <f t="shared" si="94"/>
        <v>-5.63</v>
      </c>
      <c r="P3914" s="185"/>
    </row>
    <row r="3915" spans="1:17" hidden="1" outlineLevel="2">
      <c r="E3915" s="29"/>
      <c r="F3915" s="21"/>
      <c r="G3915" s="34"/>
      <c r="H3915" s="30" t="s">
        <v>4712</v>
      </c>
      <c r="I3915" s="35"/>
      <c r="J3915" s="37"/>
      <c r="K3915" s="37">
        <v>6.92</v>
      </c>
      <c r="L3915" s="37"/>
      <c r="M3915" s="37">
        <v>2.5499999999999998</v>
      </c>
      <c r="N3915" s="38"/>
      <c r="O3915" s="37">
        <f t="shared" si="94"/>
        <v>17.649999999999999</v>
      </c>
      <c r="P3915" s="185"/>
    </row>
    <row r="3916" spans="1:17" hidden="1" outlineLevel="2">
      <c r="E3916" s="29"/>
      <c r="F3916" s="21"/>
      <c r="G3916" s="34"/>
      <c r="H3916" s="30" t="str">
        <f>_xlfn.CONCAT(H3915," - VÃO")</f>
        <v>WC GUARITA - VÃO</v>
      </c>
      <c r="I3916" s="35"/>
      <c r="J3916" s="37">
        <v>-1</v>
      </c>
      <c r="K3916" s="37"/>
      <c r="L3916" s="37"/>
      <c r="M3916" s="37"/>
      <c r="N3916" s="38">
        <v>0</v>
      </c>
      <c r="O3916" s="37">
        <f t="shared" si="94"/>
        <v>0</v>
      </c>
      <c r="P3916" s="185"/>
    </row>
    <row r="3917" spans="1:17" hidden="1" outlineLevel="2">
      <c r="E3917" s="29"/>
      <c r="F3917" s="21"/>
      <c r="G3917" s="34"/>
      <c r="H3917" s="30" t="s">
        <v>2908</v>
      </c>
      <c r="I3917" s="35"/>
      <c r="J3917" s="37"/>
      <c r="K3917" s="37">
        <v>8.2799999999999994</v>
      </c>
      <c r="L3917" s="37"/>
      <c r="M3917" s="37">
        <v>2.5499999999999998</v>
      </c>
      <c r="N3917" s="38"/>
      <c r="O3917" s="37">
        <f t="shared" si="94"/>
        <v>21.11</v>
      </c>
      <c r="P3917" s="185"/>
    </row>
    <row r="3918" spans="1:17" hidden="1" outlineLevel="2">
      <c r="E3918" s="29"/>
      <c r="F3918" s="21"/>
      <c r="G3918" s="34"/>
      <c r="H3918" s="30" t="str">
        <f>_xlfn.CONCAT(H3917," - VÃO")</f>
        <v>SALA TECNICA - VÃO</v>
      </c>
      <c r="I3918" s="35"/>
      <c r="J3918" s="37">
        <v>-1</v>
      </c>
      <c r="K3918" s="37"/>
      <c r="L3918" s="37"/>
      <c r="M3918" s="37"/>
      <c r="N3918" s="38">
        <v>0</v>
      </c>
      <c r="O3918" s="37">
        <f t="shared" si="94"/>
        <v>0</v>
      </c>
      <c r="P3918" s="185"/>
    </row>
    <row r="3919" spans="1:17" hidden="1" outlineLevel="2">
      <c r="E3919" s="29"/>
      <c r="F3919" s="21"/>
      <c r="G3919" s="34"/>
      <c r="H3919" s="30" t="s">
        <v>4731</v>
      </c>
      <c r="I3919" s="35"/>
      <c r="J3919" s="37"/>
      <c r="K3919" s="37">
        <f>8.45*2</f>
        <v>16.899999999999999</v>
      </c>
      <c r="L3919" s="37"/>
      <c r="M3919" s="37">
        <v>2.5</v>
      </c>
      <c r="N3919" s="38"/>
      <c r="O3919" s="37">
        <f t="shared" si="94"/>
        <v>42.25</v>
      </c>
      <c r="P3919" s="185"/>
    </row>
    <row r="3920" spans="1:17" hidden="1" outlineLevel="2">
      <c r="E3920" s="29"/>
      <c r="F3920" s="21"/>
      <c r="G3920" s="34"/>
      <c r="H3920" s="30" t="str">
        <f>_xlfn.CONCAT(H3919," - VÃO")</f>
        <v>CASA DE LIXO - VÃO</v>
      </c>
      <c r="I3920" s="35"/>
      <c r="J3920" s="37">
        <v>-1</v>
      </c>
      <c r="K3920" s="37"/>
      <c r="L3920" s="37"/>
      <c r="M3920" s="37"/>
      <c r="N3920" s="38">
        <f>2*1.8*2.1+1.2*2*2.1</f>
        <v>12.600000000000001</v>
      </c>
      <c r="O3920" s="37">
        <f t="shared" si="94"/>
        <v>-12.6</v>
      </c>
      <c r="P3920" s="185"/>
    </row>
    <row r="3921" spans="1:17" hidden="1" outlineLevel="2">
      <c r="E3921" s="29"/>
      <c r="F3921" s="21"/>
      <c r="G3921" s="34"/>
      <c r="H3921" s="30" t="s">
        <v>1226</v>
      </c>
      <c r="I3921" s="37"/>
      <c r="J3921" s="37"/>
      <c r="K3921" s="37">
        <v>9.6</v>
      </c>
      <c r="L3921" s="37"/>
      <c r="M3921" s="37">
        <v>2.5</v>
      </c>
      <c r="N3921" s="38"/>
      <c r="O3921" s="37">
        <f t="shared" si="94"/>
        <v>24</v>
      </c>
      <c r="P3921" s="185"/>
    </row>
    <row r="3922" spans="1:17" hidden="1" outlineLevel="2">
      <c r="E3922" s="29"/>
      <c r="F3922" s="21"/>
      <c r="G3922" s="34"/>
      <c r="H3922" s="30" t="str">
        <f>_xlfn.CONCAT(H3921," - VÃO")</f>
        <v>GLP - VÃO</v>
      </c>
      <c r="I3922" s="37"/>
      <c r="J3922" s="37">
        <v>-1</v>
      </c>
      <c r="K3922" s="37"/>
      <c r="L3922" s="37"/>
      <c r="M3922" s="37"/>
      <c r="N3922" s="38">
        <f>2*1.8*2.1</f>
        <v>7.5600000000000005</v>
      </c>
      <c r="O3922" s="37">
        <f t="shared" si="94"/>
        <v>-7.56</v>
      </c>
      <c r="P3922" s="185"/>
    </row>
    <row r="3923" spans="1:17" ht="45" hidden="1" outlineLevel="1">
      <c r="A3923" s="2">
        <v>9</v>
      </c>
      <c r="B3923" s="2">
        <v>7</v>
      </c>
      <c r="C3923" s="2">
        <f>C3910+1</f>
        <v>2</v>
      </c>
      <c r="E3923" s="20" t="str">
        <f>CONCATENATE(A3923,".",B3923,".",C3923)</f>
        <v>9.7.2</v>
      </c>
      <c r="F3923" s="21" t="s">
        <v>4732</v>
      </c>
      <c r="G3923" s="22" t="s">
        <v>262</v>
      </c>
      <c r="H3923" s="23" t="s">
        <v>3073</v>
      </c>
      <c r="I3923" s="24" t="s">
        <v>45</v>
      </c>
      <c r="J3923" s="32"/>
      <c r="K3923" s="10"/>
      <c r="L3923" s="32"/>
      <c r="M3923" s="10"/>
      <c r="N3923" s="33"/>
      <c r="O3923" s="11">
        <f>SUM(O3924:O3931)</f>
        <v>121.83000000000001</v>
      </c>
      <c r="P3923" s="185"/>
      <c r="Q3923" s="185"/>
    </row>
    <row r="3924" spans="1:17" hidden="1" outlineLevel="2">
      <c r="E3924" s="29"/>
      <c r="F3924" s="21"/>
      <c r="G3924" s="34"/>
      <c r="H3924" s="30" t="s">
        <v>4733</v>
      </c>
      <c r="I3924" s="35"/>
      <c r="J3924" s="37"/>
      <c r="K3924" s="37">
        <v>15.1</v>
      </c>
      <c r="L3924" s="37"/>
      <c r="M3924" s="37">
        <v>2.1</v>
      </c>
      <c r="N3924" s="38"/>
      <c r="O3924" s="37">
        <f t="shared" ref="O3924:O3930" si="95">ROUND(PRODUCT(J3924:N3924),2)</f>
        <v>31.71</v>
      </c>
      <c r="P3924" s="185"/>
    </row>
    <row r="3925" spans="1:17" hidden="1" outlineLevel="2">
      <c r="E3925" s="29"/>
      <c r="F3925" s="21"/>
      <c r="G3925" s="34"/>
      <c r="H3925" s="30" t="str">
        <f>_xlfn.CONCAT(H3924," - VÃO")</f>
        <v>FACHADA CASA DE BOMBA - VÃO</v>
      </c>
      <c r="I3925" s="35"/>
      <c r="J3925" s="37">
        <v>-1</v>
      </c>
      <c r="K3925" s="37"/>
      <c r="L3925" s="37"/>
      <c r="M3925" s="37"/>
      <c r="N3925" s="38">
        <f>1.2*1.8</f>
        <v>2.16</v>
      </c>
      <c r="O3925" s="37">
        <f t="shared" si="95"/>
        <v>-2.16</v>
      </c>
      <c r="P3925" s="185"/>
    </row>
    <row r="3926" spans="1:17" hidden="1" outlineLevel="2">
      <c r="E3926" s="29"/>
      <c r="F3926" s="21"/>
      <c r="G3926" s="34"/>
      <c r="H3926" s="30" t="s">
        <v>4734</v>
      </c>
      <c r="I3926" s="35"/>
      <c r="J3926" s="37"/>
      <c r="K3926" s="37">
        <v>16</v>
      </c>
      <c r="L3926" s="37"/>
      <c r="M3926" s="37">
        <v>3.25</v>
      </c>
      <c r="N3926" s="38"/>
      <c r="O3926" s="37">
        <f t="shared" si="95"/>
        <v>52</v>
      </c>
      <c r="P3926" s="185"/>
    </row>
    <row r="3927" spans="1:17" hidden="1" outlineLevel="2">
      <c r="E3927" s="29"/>
      <c r="F3927" s="21"/>
      <c r="G3927" s="34"/>
      <c r="H3927" s="30" t="str">
        <f>_xlfn.CONCAT(H3926," - VÃO")</f>
        <v>FACHADA GUARITA - VÃO</v>
      </c>
      <c r="I3927" s="35"/>
      <c r="J3927" s="37">
        <v>-1</v>
      </c>
      <c r="K3927" s="37"/>
      <c r="L3927" s="37"/>
      <c r="M3927" s="37"/>
      <c r="N3927" s="38">
        <f>2*0.6*1.1+2.2*1.1+0.9*2.1+0.66*0.46</f>
        <v>5.9336000000000011</v>
      </c>
      <c r="O3927" s="37">
        <f t="shared" si="95"/>
        <v>-5.93</v>
      </c>
      <c r="P3927" s="185"/>
    </row>
    <row r="3928" spans="1:17" hidden="1" outlineLevel="2">
      <c r="E3928" s="29"/>
      <c r="F3928" s="21"/>
      <c r="G3928" s="34"/>
      <c r="H3928" s="30" t="s">
        <v>4735</v>
      </c>
      <c r="I3928" s="35"/>
      <c r="J3928" s="37"/>
      <c r="K3928" s="37">
        <v>13.4</v>
      </c>
      <c r="L3928" s="37"/>
      <c r="M3928" s="37">
        <v>2.9</v>
      </c>
      <c r="N3928" s="38"/>
      <c r="O3928" s="37">
        <f t="shared" si="95"/>
        <v>38.86</v>
      </c>
      <c r="P3928" s="185"/>
    </row>
    <row r="3929" spans="1:17" hidden="1" outlineLevel="2">
      <c r="E3929" s="29"/>
      <c r="F3929" s="21"/>
      <c r="G3929" s="34"/>
      <c r="H3929" s="30" t="str">
        <f>_xlfn.CONCAT(H3928," - VÃO")</f>
        <v>FACHADA LIXEIRA - VÃO</v>
      </c>
      <c r="I3929" s="35"/>
      <c r="J3929" s="37">
        <v>-1</v>
      </c>
      <c r="K3929" s="37"/>
      <c r="L3929" s="37"/>
      <c r="M3929" s="37"/>
      <c r="N3929" s="38">
        <f>2*1.8*2.1+2*1.2*2.1</f>
        <v>12.600000000000001</v>
      </c>
      <c r="O3929" s="37">
        <f t="shared" si="95"/>
        <v>-12.6</v>
      </c>
      <c r="P3929" s="185"/>
    </row>
    <row r="3930" spans="1:17" hidden="1" outlineLevel="2">
      <c r="E3930" s="29"/>
      <c r="F3930" s="21"/>
      <c r="G3930" s="34"/>
      <c r="H3930" s="30" t="s">
        <v>4736</v>
      </c>
      <c r="I3930" s="35"/>
      <c r="J3930" s="37"/>
      <c r="K3930" s="37">
        <v>10.5</v>
      </c>
      <c r="L3930" s="37"/>
      <c r="M3930" s="37">
        <v>2.62</v>
      </c>
      <c r="N3930" s="38"/>
      <c r="O3930" s="37">
        <f t="shared" si="95"/>
        <v>27.51</v>
      </c>
      <c r="P3930" s="185"/>
    </row>
    <row r="3931" spans="1:17" hidden="1" outlineLevel="2">
      <c r="E3931" s="29"/>
      <c r="F3931" s="21"/>
      <c r="G3931" s="34"/>
      <c r="H3931" s="30" t="str">
        <f>_xlfn.CONCAT(H3930," - VÃO")</f>
        <v>FACHADA GLP - VÃO</v>
      </c>
      <c r="I3931" s="35"/>
      <c r="J3931" s="37">
        <v>-1</v>
      </c>
      <c r="K3931" s="37"/>
      <c r="L3931" s="37"/>
      <c r="M3931" s="37"/>
      <c r="N3931" s="38">
        <f>2*1.8*2.1</f>
        <v>7.5600000000000005</v>
      </c>
      <c r="O3931" s="37">
        <f>ROUND(PRODUCT(J3931:N3931),2)</f>
        <v>-7.56</v>
      </c>
      <c r="P3931" s="185"/>
    </row>
    <row r="3932" spans="1:17" ht="60" hidden="1" outlineLevel="1">
      <c r="A3932" s="2">
        <v>9</v>
      </c>
      <c r="B3932" s="2">
        <v>7</v>
      </c>
      <c r="C3932" s="2">
        <f>C3923+1</f>
        <v>3</v>
      </c>
      <c r="E3932" s="20" t="str">
        <f>CONCATENATE(A3932,".",B3932,".",C3932)</f>
        <v>9.7.3</v>
      </c>
      <c r="F3932" s="21" t="s">
        <v>4737</v>
      </c>
      <c r="G3932" s="22">
        <v>87829</v>
      </c>
      <c r="H3932" s="23" t="s">
        <v>266</v>
      </c>
      <c r="I3932" s="24" t="s">
        <v>45</v>
      </c>
      <c r="J3932" s="32"/>
      <c r="K3932" s="10"/>
      <c r="L3932" s="32"/>
      <c r="M3932" s="10"/>
      <c r="N3932" s="33"/>
      <c r="O3932" s="11">
        <f>SUM(O3933:O3944)</f>
        <v>164.4</v>
      </c>
      <c r="P3932" s="185"/>
      <c r="Q3932" s="185"/>
    </row>
    <row r="3933" spans="1:17" hidden="1" outlineLevel="2">
      <c r="E3933" s="29"/>
      <c r="F3933" s="21"/>
      <c r="G3933" s="34"/>
      <c r="H3933" s="30" t="s">
        <v>4450</v>
      </c>
      <c r="I3933" s="35"/>
      <c r="J3933" s="37"/>
      <c r="K3933" s="37">
        <v>14.2</v>
      </c>
      <c r="L3933" s="37"/>
      <c r="M3933" s="37">
        <v>4.75</v>
      </c>
      <c r="N3933" s="38"/>
      <c r="O3933" s="37">
        <f t="shared" ref="O3933:O3944" si="96">ROUND(PRODUCT(J3933:N3933),2)</f>
        <v>67.45</v>
      </c>
      <c r="P3933" s="185"/>
    </row>
    <row r="3934" spans="1:17" hidden="1" outlineLevel="2">
      <c r="E3934" s="29"/>
      <c r="F3934" s="21"/>
      <c r="G3934" s="34"/>
      <c r="H3934" s="30" t="str">
        <f>_xlfn.CONCAT(H3933," - VÃO")</f>
        <v>CASA DE BOMBA - VÃO</v>
      </c>
      <c r="I3934" s="35"/>
      <c r="J3934" s="37">
        <v>-1</v>
      </c>
      <c r="K3934" s="37"/>
      <c r="L3934" s="37"/>
      <c r="M3934" s="37"/>
      <c r="N3934" s="38">
        <f>1.2*1.8</f>
        <v>2.16</v>
      </c>
      <c r="O3934" s="37">
        <f t="shared" si="96"/>
        <v>-2.16</v>
      </c>
      <c r="P3934" s="185"/>
    </row>
    <row r="3935" spans="1:17" hidden="1" outlineLevel="2">
      <c r="E3935" s="29"/>
      <c r="F3935" s="21"/>
      <c r="G3935" s="34"/>
      <c r="H3935" s="30" t="s">
        <v>4606</v>
      </c>
      <c r="I3935" s="35"/>
      <c r="J3935" s="37"/>
      <c r="K3935" s="37">
        <v>7.8</v>
      </c>
      <c r="L3935" s="37"/>
      <c r="M3935" s="37">
        <v>2.5499999999999998</v>
      </c>
      <c r="N3935" s="38"/>
      <c r="O3935" s="37">
        <f t="shared" si="96"/>
        <v>19.89</v>
      </c>
      <c r="P3935" s="185"/>
    </row>
    <row r="3936" spans="1:17" hidden="1" outlineLevel="2">
      <c r="E3936" s="29"/>
      <c r="F3936" s="21"/>
      <c r="G3936" s="34"/>
      <c r="H3936" s="30" t="str">
        <f>_xlfn.CONCAT(H3935," - VÃO")</f>
        <v>GUARITA - VÃO</v>
      </c>
      <c r="I3936" s="35"/>
      <c r="J3936" s="37">
        <v>-1</v>
      </c>
      <c r="K3936" s="37"/>
      <c r="L3936" s="37"/>
      <c r="M3936" s="37"/>
      <c r="N3936" s="38">
        <f>2*0.6*1.1+2.2*1.1+0.9*2.1</f>
        <v>5.6300000000000008</v>
      </c>
      <c r="O3936" s="37">
        <f t="shared" si="96"/>
        <v>-5.63</v>
      </c>
      <c r="P3936" s="185"/>
    </row>
    <row r="3937" spans="1:17" hidden="1" outlineLevel="2">
      <c r="E3937" s="29"/>
      <c r="F3937" s="21"/>
      <c r="G3937" s="34"/>
      <c r="H3937" s="30" t="s">
        <v>4712</v>
      </c>
      <c r="I3937" s="35"/>
      <c r="J3937" s="37"/>
      <c r="K3937" s="37">
        <v>6.92</v>
      </c>
      <c r="L3937" s="37"/>
      <c r="M3937" s="37">
        <v>2.5499999999999998</v>
      </c>
      <c r="N3937" s="38"/>
      <c r="O3937" s="37">
        <f t="shared" si="96"/>
        <v>17.649999999999999</v>
      </c>
      <c r="P3937" s="185"/>
    </row>
    <row r="3938" spans="1:17" hidden="1" outlineLevel="2">
      <c r="E3938" s="29"/>
      <c r="F3938" s="21"/>
      <c r="G3938" s="34"/>
      <c r="H3938" s="30" t="str">
        <f>_xlfn.CONCAT(H3937," - VÃO")</f>
        <v>WC GUARITA - VÃO</v>
      </c>
      <c r="I3938" s="35"/>
      <c r="J3938" s="37">
        <v>-1</v>
      </c>
      <c r="K3938" s="37"/>
      <c r="L3938" s="37"/>
      <c r="M3938" s="37"/>
      <c r="N3938" s="38">
        <v>0</v>
      </c>
      <c r="O3938" s="37">
        <f t="shared" si="96"/>
        <v>0</v>
      </c>
      <c r="P3938" s="185"/>
    </row>
    <row r="3939" spans="1:17" hidden="1" outlineLevel="2">
      <c r="E3939" s="29"/>
      <c r="F3939" s="21"/>
      <c r="G3939" s="34"/>
      <c r="H3939" s="30" t="s">
        <v>2908</v>
      </c>
      <c r="I3939" s="35"/>
      <c r="J3939" s="37"/>
      <c r="K3939" s="37">
        <v>8.2799999999999994</v>
      </c>
      <c r="L3939" s="37"/>
      <c r="M3939" s="37">
        <v>2.5499999999999998</v>
      </c>
      <c r="N3939" s="38"/>
      <c r="O3939" s="37">
        <f t="shared" si="96"/>
        <v>21.11</v>
      </c>
      <c r="P3939" s="185"/>
    </row>
    <row r="3940" spans="1:17" hidden="1" outlineLevel="2">
      <c r="E3940" s="29"/>
      <c r="F3940" s="21"/>
      <c r="G3940" s="34"/>
      <c r="H3940" s="30" t="str">
        <f>_xlfn.CONCAT(H3939," - VÃO")</f>
        <v>SALA TECNICA - VÃO</v>
      </c>
      <c r="I3940" s="35"/>
      <c r="J3940" s="37">
        <v>-1</v>
      </c>
      <c r="K3940" s="37"/>
      <c r="L3940" s="37"/>
      <c r="M3940" s="37"/>
      <c r="N3940" s="38">
        <v>0</v>
      </c>
      <c r="O3940" s="37">
        <f t="shared" si="96"/>
        <v>0</v>
      </c>
      <c r="P3940" s="185"/>
    </row>
    <row r="3941" spans="1:17" hidden="1" outlineLevel="2">
      <c r="E3941" s="29"/>
      <c r="F3941" s="21"/>
      <c r="G3941" s="34"/>
      <c r="H3941" s="30" t="s">
        <v>4731</v>
      </c>
      <c r="I3941" s="35"/>
      <c r="J3941" s="37"/>
      <c r="K3941" s="37">
        <f>8.45*2</f>
        <v>16.899999999999999</v>
      </c>
      <c r="L3941" s="37"/>
      <c r="M3941" s="37">
        <v>2.5</v>
      </c>
      <c r="N3941" s="38"/>
      <c r="O3941" s="37">
        <f t="shared" si="96"/>
        <v>42.25</v>
      </c>
      <c r="P3941" s="185"/>
    </row>
    <row r="3942" spans="1:17" hidden="1" outlineLevel="2">
      <c r="E3942" s="29"/>
      <c r="F3942" s="21"/>
      <c r="G3942" s="34"/>
      <c r="H3942" s="30" t="str">
        <f>_xlfn.CONCAT(H3941," - VÃO")</f>
        <v>CASA DE LIXO - VÃO</v>
      </c>
      <c r="I3942" s="35"/>
      <c r="J3942" s="37">
        <v>-1</v>
      </c>
      <c r="K3942" s="37"/>
      <c r="L3942" s="37"/>
      <c r="M3942" s="37"/>
      <c r="N3942" s="38">
        <f>2*1.8*2.1+1.2*2*2.1</f>
        <v>12.600000000000001</v>
      </c>
      <c r="O3942" s="37">
        <f t="shared" si="96"/>
        <v>-12.6</v>
      </c>
      <c r="P3942" s="185"/>
    </row>
    <row r="3943" spans="1:17" hidden="1" outlineLevel="2">
      <c r="E3943" s="29"/>
      <c r="F3943" s="21"/>
      <c r="G3943" s="34"/>
      <c r="H3943" s="30" t="s">
        <v>1226</v>
      </c>
      <c r="I3943" s="37"/>
      <c r="J3943" s="37"/>
      <c r="K3943" s="37">
        <v>9.6</v>
      </c>
      <c r="L3943" s="37"/>
      <c r="M3943" s="37">
        <v>2.5</v>
      </c>
      <c r="N3943" s="38"/>
      <c r="O3943" s="37">
        <f t="shared" si="96"/>
        <v>24</v>
      </c>
      <c r="P3943" s="185"/>
    </row>
    <row r="3944" spans="1:17" hidden="1" outlineLevel="2">
      <c r="E3944" s="29"/>
      <c r="F3944" s="21"/>
      <c r="G3944" s="34"/>
      <c r="H3944" s="30" t="str">
        <f>_xlfn.CONCAT(H3943," - VÃO")</f>
        <v>GLP - VÃO</v>
      </c>
      <c r="I3944" s="37"/>
      <c r="J3944" s="37">
        <v>-1</v>
      </c>
      <c r="K3944" s="37"/>
      <c r="L3944" s="37"/>
      <c r="M3944" s="37"/>
      <c r="N3944" s="38">
        <f>2*1.8*2.1</f>
        <v>7.5600000000000005</v>
      </c>
      <c r="O3944" s="37">
        <f t="shared" si="96"/>
        <v>-7.56</v>
      </c>
      <c r="P3944" s="185"/>
    </row>
    <row r="3945" spans="1:17" ht="45" hidden="1" outlineLevel="1">
      <c r="A3945" s="2">
        <v>9</v>
      </c>
      <c r="B3945" s="2">
        <v>7</v>
      </c>
      <c r="C3945" s="2">
        <f>C3932+1</f>
        <v>4</v>
      </c>
      <c r="E3945" s="20" t="str">
        <f>CONCATENATE(A3945,".",B3945,".",C3945)</f>
        <v>9.7.4</v>
      </c>
      <c r="F3945" s="21" t="s">
        <v>4738</v>
      </c>
      <c r="G3945" s="22">
        <v>87779</v>
      </c>
      <c r="H3945" s="23" t="s">
        <v>269</v>
      </c>
      <c r="I3945" s="24" t="s">
        <v>45</v>
      </c>
      <c r="J3945" s="32"/>
      <c r="K3945" s="10"/>
      <c r="L3945" s="32"/>
      <c r="M3945" s="10"/>
      <c r="N3945" s="33"/>
      <c r="O3945" s="11">
        <f>SUM(O3946:O3953)</f>
        <v>121.83000000000001</v>
      </c>
      <c r="P3945" s="185"/>
      <c r="Q3945" s="185"/>
    </row>
    <row r="3946" spans="1:17" hidden="1" outlineLevel="2">
      <c r="E3946" s="29"/>
      <c r="F3946" s="21"/>
      <c r="G3946" s="34"/>
      <c r="H3946" s="30" t="s">
        <v>4733</v>
      </c>
      <c r="I3946" s="35"/>
      <c r="J3946" s="37"/>
      <c r="K3946" s="37">
        <v>15.1</v>
      </c>
      <c r="L3946" s="37"/>
      <c r="M3946" s="37">
        <v>2.1</v>
      </c>
      <c r="N3946" s="38"/>
      <c r="O3946" s="37">
        <f t="shared" ref="O3946:O3953" si="97">ROUND(PRODUCT(J3946:N3946),2)</f>
        <v>31.71</v>
      </c>
      <c r="P3946" s="185"/>
    </row>
    <row r="3947" spans="1:17" hidden="1" outlineLevel="2">
      <c r="E3947" s="29"/>
      <c r="F3947" s="21"/>
      <c r="G3947" s="34"/>
      <c r="H3947" s="30" t="str">
        <f>_xlfn.CONCAT(H3946," - VÃO")</f>
        <v>FACHADA CASA DE BOMBA - VÃO</v>
      </c>
      <c r="I3947" s="35"/>
      <c r="J3947" s="37">
        <v>-1</v>
      </c>
      <c r="K3947" s="37"/>
      <c r="L3947" s="37"/>
      <c r="M3947" s="37"/>
      <c r="N3947" s="38">
        <f>1.2*1.8</f>
        <v>2.16</v>
      </c>
      <c r="O3947" s="37">
        <f t="shared" si="97"/>
        <v>-2.16</v>
      </c>
      <c r="P3947" s="185"/>
    </row>
    <row r="3948" spans="1:17" hidden="1" outlineLevel="2">
      <c r="E3948" s="29"/>
      <c r="F3948" s="21"/>
      <c r="G3948" s="34"/>
      <c r="H3948" s="30" t="s">
        <v>4734</v>
      </c>
      <c r="I3948" s="35"/>
      <c r="J3948" s="37"/>
      <c r="K3948" s="37">
        <v>16</v>
      </c>
      <c r="L3948" s="37"/>
      <c r="M3948" s="37">
        <v>3.25</v>
      </c>
      <c r="N3948" s="38"/>
      <c r="O3948" s="37">
        <f t="shared" si="97"/>
        <v>52</v>
      </c>
      <c r="P3948" s="185"/>
    </row>
    <row r="3949" spans="1:17" hidden="1" outlineLevel="2">
      <c r="E3949" s="29"/>
      <c r="F3949" s="21"/>
      <c r="G3949" s="34"/>
      <c r="H3949" s="30" t="str">
        <f>_xlfn.CONCAT(H3948," - VÃO")</f>
        <v>FACHADA GUARITA - VÃO</v>
      </c>
      <c r="I3949" s="35"/>
      <c r="J3949" s="37">
        <v>-1</v>
      </c>
      <c r="K3949" s="37"/>
      <c r="L3949" s="37"/>
      <c r="M3949" s="37"/>
      <c r="N3949" s="38">
        <f>2*0.6*1.1+2.2*1.1+0.9*2.1+0.66*0.46</f>
        <v>5.9336000000000011</v>
      </c>
      <c r="O3949" s="37">
        <f t="shared" si="97"/>
        <v>-5.93</v>
      </c>
      <c r="P3949" s="185"/>
    </row>
    <row r="3950" spans="1:17" hidden="1" outlineLevel="2">
      <c r="E3950" s="29"/>
      <c r="F3950" s="21"/>
      <c r="G3950" s="34"/>
      <c r="H3950" s="30" t="s">
        <v>4735</v>
      </c>
      <c r="I3950" s="35"/>
      <c r="J3950" s="37"/>
      <c r="K3950" s="37">
        <v>13.4</v>
      </c>
      <c r="L3950" s="37"/>
      <c r="M3950" s="37">
        <v>2.9</v>
      </c>
      <c r="N3950" s="38"/>
      <c r="O3950" s="37">
        <f t="shared" si="97"/>
        <v>38.86</v>
      </c>
      <c r="P3950" s="185"/>
    </row>
    <row r="3951" spans="1:17" hidden="1" outlineLevel="2">
      <c r="E3951" s="29"/>
      <c r="F3951" s="21"/>
      <c r="G3951" s="34"/>
      <c r="H3951" s="30" t="str">
        <f>_xlfn.CONCAT(H3950," - VÃO")</f>
        <v>FACHADA LIXEIRA - VÃO</v>
      </c>
      <c r="I3951" s="35"/>
      <c r="J3951" s="37">
        <v>-1</v>
      </c>
      <c r="K3951" s="37"/>
      <c r="L3951" s="37"/>
      <c r="M3951" s="37"/>
      <c r="N3951" s="38">
        <f>2*1.8*2.1+2*1.2*2.1</f>
        <v>12.600000000000001</v>
      </c>
      <c r="O3951" s="37">
        <f t="shared" si="97"/>
        <v>-12.6</v>
      </c>
      <c r="P3951" s="185"/>
    </row>
    <row r="3952" spans="1:17" hidden="1" outlineLevel="2">
      <c r="E3952" s="29"/>
      <c r="F3952" s="21"/>
      <c r="G3952" s="34"/>
      <c r="H3952" s="30" t="s">
        <v>4736</v>
      </c>
      <c r="I3952" s="35"/>
      <c r="J3952" s="37"/>
      <c r="K3952" s="37">
        <v>10.5</v>
      </c>
      <c r="L3952" s="37"/>
      <c r="M3952" s="37">
        <v>2.62</v>
      </c>
      <c r="N3952" s="38"/>
      <c r="O3952" s="37">
        <f t="shared" si="97"/>
        <v>27.51</v>
      </c>
      <c r="P3952" s="185"/>
    </row>
    <row r="3953" spans="1:17" hidden="1" outlineLevel="2">
      <c r="E3953" s="29"/>
      <c r="F3953" s="21"/>
      <c r="G3953" s="34"/>
      <c r="H3953" s="30" t="str">
        <f>_xlfn.CONCAT(H3952," - VÃO")</f>
        <v>FACHADA GLP - VÃO</v>
      </c>
      <c r="I3953" s="35"/>
      <c r="J3953" s="37">
        <v>-1</v>
      </c>
      <c r="K3953" s="37"/>
      <c r="L3953" s="37"/>
      <c r="M3953" s="37"/>
      <c r="N3953" s="38">
        <f>2*1.8*2.1</f>
        <v>7.5600000000000005</v>
      </c>
      <c r="O3953" s="37">
        <f t="shared" si="97"/>
        <v>-7.56</v>
      </c>
      <c r="P3953" s="185"/>
    </row>
    <row r="3954" spans="1:17" ht="45" hidden="1" outlineLevel="1">
      <c r="A3954" s="2">
        <v>9</v>
      </c>
      <c r="B3954" s="2">
        <v>7</v>
      </c>
      <c r="C3954" s="2">
        <f>C3945+1</f>
        <v>5</v>
      </c>
      <c r="E3954" s="20" t="str">
        <f>CONCATENATE(A3954,".",B3954,".",C3954)</f>
        <v>9.7.5</v>
      </c>
      <c r="F3954" s="21" t="s">
        <v>4739</v>
      </c>
      <c r="G3954" s="22" t="s">
        <v>271</v>
      </c>
      <c r="H3954" s="23" t="s">
        <v>272</v>
      </c>
      <c r="I3954" s="24" t="s">
        <v>45</v>
      </c>
      <c r="J3954" s="32"/>
      <c r="K3954" s="10"/>
      <c r="L3954" s="32"/>
      <c r="M3954" s="10"/>
      <c r="N3954" s="33"/>
      <c r="O3954" s="11">
        <f>SUM(O3955:O3958)</f>
        <v>43.37</v>
      </c>
      <c r="P3954" s="185"/>
      <c r="Q3954" s="185"/>
    </row>
    <row r="3955" spans="1:17" hidden="1" outlineLevel="2">
      <c r="E3955" s="29"/>
      <c r="F3955" s="21"/>
      <c r="G3955" s="34"/>
      <c r="H3955" s="30" t="s">
        <v>4694</v>
      </c>
      <c r="I3955" s="35"/>
      <c r="J3955" s="37"/>
      <c r="K3955" s="37">
        <v>6.92</v>
      </c>
      <c r="L3955" s="37"/>
      <c r="M3955" s="37">
        <v>2.4</v>
      </c>
      <c r="N3955" s="38"/>
      <c r="O3955" s="37">
        <f>ROUND(PRODUCT(J3955:N3955),2)</f>
        <v>16.61</v>
      </c>
      <c r="P3955" s="185"/>
    </row>
    <row r="3956" spans="1:17" hidden="1" outlineLevel="2">
      <c r="E3956" s="29"/>
      <c r="F3956" s="21"/>
      <c r="G3956" s="34"/>
      <c r="H3956" s="30" t="str">
        <f>_xlfn.CONCAT(H3955," - VÃO")</f>
        <v>BANHEIRO GUARITA - VÃO</v>
      </c>
      <c r="I3956" s="35"/>
      <c r="J3956" s="37">
        <v>-1</v>
      </c>
      <c r="K3956" s="37"/>
      <c r="L3956" s="37"/>
      <c r="M3956" s="37"/>
      <c r="N3956" s="38">
        <f>0.9*2.1+2*0.5</f>
        <v>2.89</v>
      </c>
      <c r="O3956" s="37">
        <f>ROUND(PRODUCT(J3956:N3956),2)</f>
        <v>-2.89</v>
      </c>
      <c r="P3956" s="185"/>
    </row>
    <row r="3957" spans="1:17" hidden="1" outlineLevel="2">
      <c r="E3957" s="29"/>
      <c r="F3957" s="21"/>
      <c r="G3957" s="34"/>
      <c r="H3957" s="30" t="s">
        <v>4731</v>
      </c>
      <c r="I3957" s="35"/>
      <c r="J3957" s="37"/>
      <c r="K3957" s="37">
        <f>8.45*2</f>
        <v>16.899999999999999</v>
      </c>
      <c r="L3957" s="37"/>
      <c r="M3957" s="37">
        <v>2.5</v>
      </c>
      <c r="N3957" s="38"/>
      <c r="O3957" s="37">
        <f>ROUND(PRODUCT(J3957:N3957),2)</f>
        <v>42.25</v>
      </c>
      <c r="P3957" s="185"/>
    </row>
    <row r="3958" spans="1:17" hidden="1" outlineLevel="2">
      <c r="E3958" s="29"/>
      <c r="F3958" s="21"/>
      <c r="G3958" s="34"/>
      <c r="H3958" s="30" t="s">
        <v>4740</v>
      </c>
      <c r="I3958" s="35"/>
      <c r="J3958" s="37">
        <v>-1</v>
      </c>
      <c r="K3958" s="37"/>
      <c r="L3958" s="37"/>
      <c r="M3958" s="37"/>
      <c r="N3958" s="38">
        <f>2*1.2*2.1+2*1.8*2.1</f>
        <v>12.600000000000001</v>
      </c>
      <c r="O3958" s="37">
        <f>ROUND(PRODUCT(J3958:N3958),2)</f>
        <v>-12.6</v>
      </c>
      <c r="P3958" s="185"/>
    </row>
    <row r="3959" spans="1:17" hidden="1" outlineLevel="2">
      <c r="E3959" s="29"/>
      <c r="F3959" s="21" t="s">
        <v>4741</v>
      </c>
      <c r="G3959" s="22">
        <v>2249</v>
      </c>
      <c r="H3959" s="23" t="s">
        <v>275</v>
      </c>
      <c r="I3959" s="24" t="s">
        <v>45</v>
      </c>
      <c r="J3959" s="32"/>
      <c r="K3959" s="10"/>
      <c r="L3959" s="32"/>
      <c r="M3959" s="10"/>
      <c r="N3959" s="33"/>
      <c r="O3959" s="11">
        <f>SUM(O3960:O3967)</f>
        <v>121.83000000000001</v>
      </c>
      <c r="P3959" s="185"/>
    </row>
    <row r="3960" spans="1:17" hidden="1" outlineLevel="2">
      <c r="E3960" s="29"/>
      <c r="F3960" s="21"/>
      <c r="G3960" s="34"/>
      <c r="H3960" s="30" t="s">
        <v>4733</v>
      </c>
      <c r="I3960" s="35"/>
      <c r="J3960" s="37"/>
      <c r="K3960" s="37">
        <v>15.1</v>
      </c>
      <c r="L3960" s="37"/>
      <c r="M3960" s="37">
        <v>2.1</v>
      </c>
      <c r="N3960" s="38"/>
      <c r="O3960" s="37">
        <f t="shared" ref="O3960:O3967" si="98">ROUND(PRODUCT(J3960:N3960),2)</f>
        <v>31.71</v>
      </c>
      <c r="P3960" s="185"/>
    </row>
    <row r="3961" spans="1:17" hidden="1" outlineLevel="2">
      <c r="E3961" s="29"/>
      <c r="F3961" s="21"/>
      <c r="G3961" s="34"/>
      <c r="H3961" s="30" t="str">
        <f>_xlfn.CONCAT(H3960," - VÃO")</f>
        <v>FACHADA CASA DE BOMBA - VÃO</v>
      </c>
      <c r="I3961" s="35"/>
      <c r="J3961" s="37">
        <v>-1</v>
      </c>
      <c r="K3961" s="37"/>
      <c r="L3961" s="37"/>
      <c r="M3961" s="37"/>
      <c r="N3961" s="38">
        <f>1.2*1.8</f>
        <v>2.16</v>
      </c>
      <c r="O3961" s="37">
        <f t="shared" si="98"/>
        <v>-2.16</v>
      </c>
      <c r="P3961" s="185"/>
    </row>
    <row r="3962" spans="1:17" hidden="1" outlineLevel="2">
      <c r="E3962" s="29"/>
      <c r="F3962" s="21"/>
      <c r="G3962" s="34"/>
      <c r="H3962" s="30" t="s">
        <v>4734</v>
      </c>
      <c r="I3962" s="35"/>
      <c r="J3962" s="37"/>
      <c r="K3962" s="37">
        <v>16</v>
      </c>
      <c r="L3962" s="37"/>
      <c r="M3962" s="37">
        <v>3.25</v>
      </c>
      <c r="N3962" s="38"/>
      <c r="O3962" s="37">
        <f t="shared" si="98"/>
        <v>52</v>
      </c>
      <c r="P3962" s="185"/>
    </row>
    <row r="3963" spans="1:17" hidden="1" outlineLevel="2">
      <c r="E3963" s="29"/>
      <c r="F3963" s="21"/>
      <c r="G3963" s="34"/>
      <c r="H3963" s="30" t="str">
        <f>_xlfn.CONCAT(H3962," - VÃO")</f>
        <v>FACHADA GUARITA - VÃO</v>
      </c>
      <c r="I3963" s="35"/>
      <c r="J3963" s="37">
        <v>-1</v>
      </c>
      <c r="K3963" s="37"/>
      <c r="L3963" s="37"/>
      <c r="M3963" s="37"/>
      <c r="N3963" s="38">
        <f>2*0.6*1.1+2.2*1.1+0.9*2.1+0.66*0.46</f>
        <v>5.9336000000000011</v>
      </c>
      <c r="O3963" s="37">
        <f t="shared" si="98"/>
        <v>-5.93</v>
      </c>
      <c r="P3963" s="185"/>
    </row>
    <row r="3964" spans="1:17" hidden="1" outlineLevel="2">
      <c r="E3964" s="29"/>
      <c r="F3964" s="21"/>
      <c r="G3964" s="34"/>
      <c r="H3964" s="30" t="s">
        <v>4735</v>
      </c>
      <c r="I3964" s="35"/>
      <c r="J3964" s="37"/>
      <c r="K3964" s="37">
        <v>13.4</v>
      </c>
      <c r="L3964" s="37"/>
      <c r="M3964" s="37">
        <v>2.9</v>
      </c>
      <c r="N3964" s="38"/>
      <c r="O3964" s="37">
        <f t="shared" si="98"/>
        <v>38.86</v>
      </c>
      <c r="P3964" s="185"/>
    </row>
    <row r="3965" spans="1:17" hidden="1" outlineLevel="2">
      <c r="E3965" s="29"/>
      <c r="F3965" s="21"/>
      <c r="G3965" s="34"/>
      <c r="H3965" s="30" t="str">
        <f>_xlfn.CONCAT(H3964," - VÃO")</f>
        <v>FACHADA LIXEIRA - VÃO</v>
      </c>
      <c r="I3965" s="35"/>
      <c r="J3965" s="37">
        <v>-1</v>
      </c>
      <c r="K3965" s="37"/>
      <c r="L3965" s="37"/>
      <c r="M3965" s="37"/>
      <c r="N3965" s="38">
        <f>2*1.8*2.1+2*1.2*2.1</f>
        <v>12.600000000000001</v>
      </c>
      <c r="O3965" s="37">
        <f t="shared" si="98"/>
        <v>-12.6</v>
      </c>
      <c r="P3965" s="185"/>
    </row>
    <row r="3966" spans="1:17" hidden="1" outlineLevel="2">
      <c r="E3966" s="29"/>
      <c r="F3966" s="21"/>
      <c r="G3966" s="34"/>
      <c r="H3966" s="30" t="s">
        <v>4736</v>
      </c>
      <c r="I3966" s="35"/>
      <c r="J3966" s="37"/>
      <c r="K3966" s="37">
        <v>10.5</v>
      </c>
      <c r="L3966" s="37"/>
      <c r="M3966" s="37">
        <v>2.62</v>
      </c>
      <c r="N3966" s="38"/>
      <c r="O3966" s="37">
        <f t="shared" si="98"/>
        <v>27.51</v>
      </c>
      <c r="P3966" s="185"/>
    </row>
    <row r="3967" spans="1:17" hidden="1" outlineLevel="2">
      <c r="E3967" s="29"/>
      <c r="F3967" s="21"/>
      <c r="G3967" s="34"/>
      <c r="H3967" s="30" t="str">
        <f>_xlfn.CONCAT(H3966," - VÃO")</f>
        <v>FACHADA GLP - VÃO</v>
      </c>
      <c r="I3967" s="35"/>
      <c r="J3967" s="37">
        <v>-1</v>
      </c>
      <c r="K3967" s="37"/>
      <c r="L3967" s="37"/>
      <c r="M3967" s="37"/>
      <c r="N3967" s="38">
        <f>2*1.8*2.1</f>
        <v>7.5600000000000005</v>
      </c>
      <c r="O3967" s="37">
        <f t="shared" si="98"/>
        <v>-7.56</v>
      </c>
      <c r="P3967" s="185"/>
    </row>
    <row r="3968" spans="1:17" collapsed="1">
      <c r="A3968" s="2">
        <v>9</v>
      </c>
      <c r="B3968" s="2">
        <v>8</v>
      </c>
      <c r="E3968" s="42" t="str">
        <f>CONCATENATE(A3968,".",B3968)</f>
        <v>9.8</v>
      </c>
      <c r="F3968" s="45" t="s">
        <v>4742</v>
      </c>
      <c r="G3968" s="13"/>
      <c r="H3968" s="14" t="s">
        <v>294</v>
      </c>
      <c r="I3968" s="15"/>
      <c r="J3968" s="16"/>
      <c r="K3968" s="17"/>
      <c r="L3968" s="16"/>
      <c r="M3968" s="17"/>
      <c r="N3968" s="18"/>
      <c r="O3968" s="61"/>
      <c r="P3968" s="185"/>
      <c r="Q3968" s="185"/>
    </row>
    <row r="3969" spans="1:17" hidden="1" outlineLevel="1">
      <c r="A3969" s="2">
        <v>9</v>
      </c>
      <c r="B3969" s="2">
        <v>8</v>
      </c>
      <c r="C3969" s="2">
        <v>1</v>
      </c>
      <c r="E3969" s="20" t="str">
        <f>CONCATENATE(A3969,".",B3969,".",C3969)</f>
        <v>9.8.1</v>
      </c>
      <c r="F3969" s="21" t="s">
        <v>4743</v>
      </c>
      <c r="G3969" s="22" t="s">
        <v>296</v>
      </c>
      <c r="H3969" s="23" t="s">
        <v>297</v>
      </c>
      <c r="I3969" s="24" t="s">
        <v>45</v>
      </c>
      <c r="J3969" s="32"/>
      <c r="K3969" s="10"/>
      <c r="L3969" s="32"/>
      <c r="M3969" s="10"/>
      <c r="N3969" s="33"/>
      <c r="O3969" s="11">
        <f>SUM(O3970:O3972)</f>
        <v>10.78</v>
      </c>
      <c r="P3969" s="185"/>
      <c r="Q3969" s="185"/>
    </row>
    <row r="3970" spans="1:17" hidden="1" outlineLevel="2">
      <c r="E3970" s="29"/>
      <c r="F3970" s="21"/>
      <c r="G3970" s="34"/>
      <c r="H3970" s="30" t="s">
        <v>4606</v>
      </c>
      <c r="I3970" s="35"/>
      <c r="J3970" s="41"/>
      <c r="K3970" s="33"/>
      <c r="L3970" s="41"/>
      <c r="M3970" s="33"/>
      <c r="N3970" s="33">
        <v>3.74</v>
      </c>
      <c r="O3970" s="31">
        <f>ROUND(PRODUCT(J3970:N3970),2)</f>
        <v>3.74</v>
      </c>
      <c r="P3970" s="185"/>
    </row>
    <row r="3971" spans="1:17" hidden="1" outlineLevel="2">
      <c r="E3971" s="29"/>
      <c r="F3971" s="21"/>
      <c r="G3971" s="34"/>
      <c r="H3971" s="30" t="s">
        <v>4694</v>
      </c>
      <c r="I3971" s="35"/>
      <c r="J3971" s="41"/>
      <c r="K3971" s="33"/>
      <c r="L3971" s="41"/>
      <c r="M3971" s="33"/>
      <c r="N3971" s="33">
        <v>2.77</v>
      </c>
      <c r="O3971" s="31">
        <f>ROUND(PRODUCT(J3971:N3971),2)</f>
        <v>2.77</v>
      </c>
      <c r="P3971" s="185"/>
    </row>
    <row r="3972" spans="1:17" hidden="1" outlineLevel="2">
      <c r="E3972" s="29"/>
      <c r="F3972" s="21"/>
      <c r="G3972" s="34"/>
      <c r="H3972" s="30" t="s">
        <v>4744</v>
      </c>
      <c r="I3972" s="35"/>
      <c r="J3972" s="41"/>
      <c r="K3972" s="33"/>
      <c r="L3972" s="41"/>
      <c r="M3972" s="33"/>
      <c r="N3972" s="33">
        <v>4.2699999999999996</v>
      </c>
      <c r="O3972" s="31">
        <f>ROUND(PRODUCT(J3972:N3972),2)</f>
        <v>4.2699999999999996</v>
      </c>
      <c r="P3972" s="185"/>
    </row>
    <row r="3973" spans="1:17" collapsed="1">
      <c r="A3973" s="2">
        <v>9</v>
      </c>
      <c r="B3973" s="2">
        <v>9</v>
      </c>
      <c r="E3973" s="42" t="str">
        <f>CONCATENATE(A3973,".",B3973)</f>
        <v>9.9</v>
      </c>
      <c r="F3973" s="45" t="s">
        <v>4745</v>
      </c>
      <c r="G3973" s="13"/>
      <c r="H3973" s="14" t="s">
        <v>302</v>
      </c>
      <c r="I3973" s="15"/>
      <c r="J3973" s="16"/>
      <c r="K3973" s="17"/>
      <c r="L3973" s="16"/>
      <c r="M3973" s="17"/>
      <c r="N3973" s="18"/>
      <c r="O3973" s="19"/>
      <c r="P3973" s="185"/>
      <c r="Q3973" s="185"/>
    </row>
    <row r="3974" spans="1:17" ht="30" hidden="1" outlineLevel="1">
      <c r="A3974" s="2">
        <v>9</v>
      </c>
      <c r="B3974" s="2">
        <v>9</v>
      </c>
      <c r="C3974" s="2">
        <v>1</v>
      </c>
      <c r="E3974" s="20" t="str">
        <f>CONCATENATE(A3974,".",B3974,".",C3974)</f>
        <v>9.9.1</v>
      </c>
      <c r="F3974" s="21" t="s">
        <v>4746</v>
      </c>
      <c r="G3974" s="22">
        <v>91338</v>
      </c>
      <c r="H3974" s="23" t="s">
        <v>1037</v>
      </c>
      <c r="I3974" s="24" t="s">
        <v>276</v>
      </c>
      <c r="J3974" s="32"/>
      <c r="K3974" s="10"/>
      <c r="L3974" s="32"/>
      <c r="M3974" s="10"/>
      <c r="N3974" s="33"/>
      <c r="O3974" s="11">
        <f>SUM(O3975)</f>
        <v>3.78</v>
      </c>
      <c r="P3974" s="185"/>
      <c r="Q3974" s="185"/>
    </row>
    <row r="3975" spans="1:17" hidden="1" outlineLevel="1">
      <c r="E3975" s="29"/>
      <c r="F3975" s="60"/>
      <c r="G3975" s="34"/>
      <c r="H3975" s="30" t="s">
        <v>4700</v>
      </c>
      <c r="I3975" s="35"/>
      <c r="J3975" s="41"/>
      <c r="K3975" s="33">
        <v>0.9</v>
      </c>
      <c r="L3975" s="41">
        <v>2.1</v>
      </c>
      <c r="M3975" s="33"/>
      <c r="N3975" s="33">
        <v>2</v>
      </c>
      <c r="O3975" s="31">
        <f>ROUND(PRODUCT(J3975:N3975),2)</f>
        <v>3.78</v>
      </c>
      <c r="P3975" s="185"/>
    </row>
    <row r="3976" spans="1:17" ht="60" hidden="1" outlineLevel="1">
      <c r="A3976" s="2">
        <v>9</v>
      </c>
      <c r="B3976" s="2">
        <v>9</v>
      </c>
      <c r="C3976" s="2">
        <v>1</v>
      </c>
      <c r="E3976" s="20" t="str">
        <f>CONCATENATE(A3976,".",B3976,".",C3976)</f>
        <v>9.9.1</v>
      </c>
      <c r="F3976" s="21" t="s">
        <v>4747</v>
      </c>
      <c r="G3976" s="22">
        <v>94559</v>
      </c>
      <c r="H3976" s="23" t="s">
        <v>3147</v>
      </c>
      <c r="I3976" s="24" t="s">
        <v>45</v>
      </c>
      <c r="J3976" s="32"/>
      <c r="K3976" s="10"/>
      <c r="L3976" s="32"/>
      <c r="M3976" s="10"/>
      <c r="N3976" s="33"/>
      <c r="O3976" s="11">
        <f>SUM(O3977)</f>
        <v>0.3</v>
      </c>
      <c r="P3976" s="185"/>
      <c r="Q3976" s="185"/>
    </row>
    <row r="3977" spans="1:17" hidden="1" outlineLevel="1">
      <c r="E3977" s="29"/>
      <c r="F3977" s="60"/>
      <c r="G3977" s="34"/>
      <c r="H3977" s="30" t="s">
        <v>4748</v>
      </c>
      <c r="I3977" s="35"/>
      <c r="J3977" s="41"/>
      <c r="K3977" s="33">
        <v>0.66</v>
      </c>
      <c r="L3977" s="41"/>
      <c r="M3977" s="33">
        <v>0.46</v>
      </c>
      <c r="N3977" s="33">
        <v>1</v>
      </c>
      <c r="O3977" s="31">
        <f>ROUND(PRODUCT(J3977:N3977),2)</f>
        <v>0.3</v>
      </c>
      <c r="P3977" s="185"/>
    </row>
    <row r="3978" spans="1:17" ht="45" hidden="1" outlineLevel="1">
      <c r="E3978" s="29"/>
      <c r="F3978" s="21" t="s">
        <v>4749</v>
      </c>
      <c r="G3978" s="22">
        <v>100674</v>
      </c>
      <c r="H3978" s="23" t="s">
        <v>4750</v>
      </c>
      <c r="I3978" s="24" t="s">
        <v>45</v>
      </c>
      <c r="J3978" s="32"/>
      <c r="K3978" s="10"/>
      <c r="L3978" s="32"/>
      <c r="M3978" s="10"/>
      <c r="N3978" s="33"/>
      <c r="O3978" s="11">
        <f>SUM(O3979)</f>
        <v>1.32</v>
      </c>
      <c r="P3978" s="185"/>
    </row>
    <row r="3979" spans="1:17" hidden="1" outlineLevel="1">
      <c r="E3979" s="29"/>
      <c r="F3979" s="60"/>
      <c r="G3979" s="34"/>
      <c r="H3979" s="30"/>
      <c r="I3979" s="35"/>
      <c r="J3979" s="41"/>
      <c r="K3979" s="33">
        <v>0.6</v>
      </c>
      <c r="L3979" s="41"/>
      <c r="M3979" s="33">
        <v>1.1000000000000001</v>
      </c>
      <c r="N3979" s="33">
        <v>2</v>
      </c>
      <c r="O3979" s="31">
        <f>ROUND(PRODUCT(J3979:N3979),2)</f>
        <v>1.32</v>
      </c>
      <c r="P3979" s="185"/>
    </row>
    <row r="3980" spans="1:17" ht="60" hidden="1" outlineLevel="1">
      <c r="A3980" s="2">
        <v>9</v>
      </c>
      <c r="B3980" s="2">
        <v>9</v>
      </c>
      <c r="C3980" s="2">
        <f>C3974+1</f>
        <v>2</v>
      </c>
      <c r="E3980" s="20" t="str">
        <f>CONCATENATE(A3980,".",B3980,".",C3980)</f>
        <v>9.9.2</v>
      </c>
      <c r="F3980" s="21" t="s">
        <v>4751</v>
      </c>
      <c r="G3980" s="22">
        <v>94570</v>
      </c>
      <c r="H3980" s="23" t="s">
        <v>4752</v>
      </c>
      <c r="I3980" s="24" t="s">
        <v>45</v>
      </c>
      <c r="J3980" s="32"/>
      <c r="K3980" s="10"/>
      <c r="L3980" s="32"/>
      <c r="M3980" s="10"/>
      <c r="N3980" s="33"/>
      <c r="O3980" s="11">
        <f>SUM(O3981)</f>
        <v>2.42</v>
      </c>
      <c r="P3980" s="185"/>
    </row>
    <row r="3981" spans="1:17" hidden="1" outlineLevel="1">
      <c r="E3981" s="20"/>
      <c r="F3981" s="60"/>
      <c r="G3981" s="34"/>
      <c r="H3981" s="30"/>
      <c r="I3981" s="35"/>
      <c r="J3981" s="41"/>
      <c r="K3981" s="33">
        <v>2.2000000000000002</v>
      </c>
      <c r="L3981" s="41"/>
      <c r="M3981" s="33">
        <v>1.1000000000000001</v>
      </c>
      <c r="N3981" s="33">
        <v>1</v>
      </c>
      <c r="O3981" s="31">
        <f>ROUND(PRODUCT(J3981:N3981),2)</f>
        <v>2.42</v>
      </c>
      <c r="P3981" s="185"/>
      <c r="Q3981" s="185"/>
    </row>
    <row r="3982" spans="1:17" hidden="1" outlineLevel="1">
      <c r="A3982" s="2">
        <v>9</v>
      </c>
      <c r="B3982" s="2">
        <v>9</v>
      </c>
      <c r="C3982" s="2">
        <f>C3980+1</f>
        <v>3</v>
      </c>
      <c r="E3982" s="20" t="str">
        <f>CONCATENATE(A3982,".",B3982,".",C3982)</f>
        <v>9.9.3</v>
      </c>
      <c r="F3982" s="21" t="s">
        <v>4753</v>
      </c>
      <c r="G3982" s="22">
        <v>100701</v>
      </c>
      <c r="H3982" s="23" t="s">
        <v>1042</v>
      </c>
      <c r="I3982" s="24" t="s">
        <v>45</v>
      </c>
      <c r="J3982" s="32"/>
      <c r="K3982" s="10"/>
      <c r="L3982" s="32"/>
      <c r="M3982" s="10"/>
      <c r="N3982" s="33"/>
      <c r="O3982" s="11">
        <f>SUM(O3983:O3985)</f>
        <v>22.32</v>
      </c>
      <c r="P3982" s="185"/>
    </row>
    <row r="3983" spans="1:17" hidden="1" outlineLevel="1">
      <c r="E3983" s="20"/>
      <c r="F3983" s="60"/>
      <c r="G3983" s="34"/>
      <c r="H3983" s="30" t="s">
        <v>4699</v>
      </c>
      <c r="I3983" s="35"/>
      <c r="J3983" s="41"/>
      <c r="K3983" s="33">
        <v>1.2</v>
      </c>
      <c r="L3983" s="41"/>
      <c r="M3983" s="33">
        <v>1.8</v>
      </c>
      <c r="N3983" s="33">
        <v>1</v>
      </c>
      <c r="O3983" s="31">
        <f>ROUND(PRODUCT(J3983:N3983),2)</f>
        <v>2.16</v>
      </c>
      <c r="P3983" s="185"/>
      <c r="Q3983" s="185"/>
    </row>
    <row r="3984" spans="1:17" hidden="1" outlineLevel="1">
      <c r="A3984" s="2">
        <v>9</v>
      </c>
      <c r="B3984" s="2">
        <v>9</v>
      </c>
      <c r="C3984" s="2" t="e">
        <f>#REF!+1</f>
        <v>#REF!</v>
      </c>
      <c r="E3984" s="20" t="e">
        <f>CONCATENATE(A3984,".",B3984,".",C3984)</f>
        <v>#REF!</v>
      </c>
      <c r="F3984" s="60"/>
      <c r="G3984" s="34"/>
      <c r="H3984" s="30" t="s">
        <v>4705</v>
      </c>
      <c r="I3984" s="35"/>
      <c r="J3984" s="41"/>
      <c r="K3984" s="33">
        <v>1.8</v>
      </c>
      <c r="L3984" s="41"/>
      <c r="M3984" s="33">
        <v>2.1</v>
      </c>
      <c r="N3984" s="33">
        <v>4</v>
      </c>
      <c r="O3984" s="31">
        <f>ROUND(PRODUCT(J3984:N3984),2)</f>
        <v>15.12</v>
      </c>
      <c r="P3984" s="185"/>
      <c r="Q3984" s="185"/>
    </row>
    <row r="3985" spans="1:17" hidden="1" outlineLevel="1">
      <c r="E3985" s="20"/>
      <c r="F3985" s="60"/>
      <c r="G3985" s="34"/>
      <c r="H3985" s="30" t="s">
        <v>4702</v>
      </c>
      <c r="I3985" s="35"/>
      <c r="J3985" s="41"/>
      <c r="K3985" s="33">
        <v>1.2</v>
      </c>
      <c r="L3985" s="41"/>
      <c r="M3985" s="33">
        <v>2.1</v>
      </c>
      <c r="N3985" s="33">
        <v>2</v>
      </c>
      <c r="O3985" s="31">
        <f>ROUND(PRODUCT(J3985:N3985),2)</f>
        <v>5.04</v>
      </c>
      <c r="P3985" s="185"/>
      <c r="Q3985" s="185"/>
    </row>
    <row r="3986" spans="1:17" ht="60" hidden="1" outlineLevel="1">
      <c r="E3986" s="20"/>
      <c r="F3986" s="21" t="s">
        <v>4754</v>
      </c>
      <c r="G3986" s="22" t="s">
        <v>304</v>
      </c>
      <c r="H3986" s="23" t="s">
        <v>305</v>
      </c>
      <c r="I3986" s="24" t="s">
        <v>36</v>
      </c>
      <c r="J3986" s="32"/>
      <c r="K3986" s="10"/>
      <c r="L3986" s="32"/>
      <c r="M3986" s="10"/>
      <c r="N3986" s="33"/>
      <c r="O3986" s="11">
        <f>SUM(O3987)</f>
        <v>1</v>
      </c>
      <c r="P3986" s="185"/>
      <c r="Q3986" s="185"/>
    </row>
    <row r="3987" spans="1:17" hidden="1" outlineLevel="1">
      <c r="E3987" s="20"/>
      <c r="F3987" s="60"/>
      <c r="G3987" s="34"/>
      <c r="H3987" s="30" t="s">
        <v>4701</v>
      </c>
      <c r="I3987" s="35"/>
      <c r="J3987" s="41"/>
      <c r="K3987" s="33"/>
      <c r="L3987" s="41"/>
      <c r="M3987" s="33"/>
      <c r="N3987" s="33">
        <v>1</v>
      </c>
      <c r="O3987" s="31">
        <f>ROUND(PRODUCT(J3987:N3987),2)</f>
        <v>1</v>
      </c>
      <c r="P3987" s="185"/>
      <c r="Q3987" s="185"/>
    </row>
    <row r="3988" spans="1:17" hidden="1" outlineLevel="1">
      <c r="E3988" s="20"/>
      <c r="F3988" s="21" t="s">
        <v>4755</v>
      </c>
      <c r="G3988" s="22">
        <v>2325</v>
      </c>
      <c r="H3988" s="23" t="s">
        <v>1033</v>
      </c>
      <c r="I3988" s="24" t="s">
        <v>45</v>
      </c>
      <c r="J3988" s="32"/>
      <c r="K3988" s="10"/>
      <c r="L3988" s="32"/>
      <c r="M3988" s="10"/>
      <c r="N3988" s="33"/>
      <c r="O3988" s="11">
        <f>SUM(O3989)</f>
        <v>6.8</v>
      </c>
      <c r="P3988" s="185"/>
      <c r="Q3988" s="185"/>
    </row>
    <row r="3989" spans="1:17" hidden="1" outlineLevel="1">
      <c r="E3989" s="20"/>
      <c r="F3989" s="60"/>
      <c r="G3989" s="34"/>
      <c r="H3989" s="30"/>
      <c r="I3989" s="35"/>
      <c r="J3989" s="25"/>
      <c r="K3989" s="33">
        <v>2</v>
      </c>
      <c r="L3989" s="41">
        <v>3.4</v>
      </c>
      <c r="M3989" s="33"/>
      <c r="N3989" s="33">
        <v>1</v>
      </c>
      <c r="O3989" s="58">
        <f>ROUND(PRODUCT(J3989:N3989),2)</f>
        <v>6.8</v>
      </c>
      <c r="P3989" s="185"/>
      <c r="Q3989" s="185"/>
    </row>
    <row r="3990" spans="1:17" collapsed="1">
      <c r="A3990" s="2">
        <v>9</v>
      </c>
      <c r="B3990" s="2">
        <v>10</v>
      </c>
      <c r="E3990" s="42" t="str">
        <f>CONCATENATE(A3990,".",B3990)</f>
        <v>9.10</v>
      </c>
      <c r="F3990" s="45" t="s">
        <v>4756</v>
      </c>
      <c r="G3990" s="13"/>
      <c r="H3990" s="14" t="s">
        <v>349</v>
      </c>
      <c r="I3990" s="15"/>
      <c r="J3990" s="16"/>
      <c r="K3990" s="17"/>
      <c r="L3990" s="16"/>
      <c r="M3990" s="17"/>
      <c r="N3990" s="18"/>
      <c r="O3990" s="61"/>
      <c r="P3990" s="185"/>
      <c r="Q3990" s="185"/>
    </row>
    <row r="3991" spans="1:17" hidden="1" outlineLevel="1">
      <c r="A3991" s="2">
        <v>9</v>
      </c>
      <c r="B3991" s="2">
        <v>10</v>
      </c>
      <c r="C3991" s="2">
        <v>1</v>
      </c>
      <c r="E3991" s="20" t="str">
        <f>CONCATENATE(A3991,".",B3991,".",C3991)</f>
        <v>9.10.1</v>
      </c>
      <c r="F3991" s="21" t="s">
        <v>4757</v>
      </c>
      <c r="G3991" s="22" t="s">
        <v>351</v>
      </c>
      <c r="H3991" s="23" t="s">
        <v>352</v>
      </c>
      <c r="I3991" s="24" t="s">
        <v>45</v>
      </c>
      <c r="J3991" s="32"/>
      <c r="K3991" s="10"/>
      <c r="L3991" s="32"/>
      <c r="M3991" s="10"/>
      <c r="N3991" s="33"/>
      <c r="O3991" s="11">
        <f>SUM(O3992:O3997)</f>
        <v>118.25</v>
      </c>
      <c r="P3991" s="185"/>
      <c r="Q3991" s="185"/>
    </row>
    <row r="3992" spans="1:17" hidden="1" outlineLevel="2">
      <c r="E3992" s="29"/>
      <c r="F3992" s="21"/>
      <c r="G3992" s="34"/>
      <c r="H3992" s="30" t="s">
        <v>4450</v>
      </c>
      <c r="I3992" s="35"/>
      <c r="J3992" s="37"/>
      <c r="K3992" s="37">
        <v>14.2</v>
      </c>
      <c r="L3992" s="37"/>
      <c r="M3992" s="37">
        <v>4.75</v>
      </c>
      <c r="N3992" s="38"/>
      <c r="O3992" s="37">
        <f t="shared" ref="O3992:O3997" si="99">ROUND(PRODUCT(J3992:N3992),2)</f>
        <v>67.45</v>
      </c>
      <c r="P3992" s="185"/>
    </row>
    <row r="3993" spans="1:17" hidden="1" outlineLevel="2">
      <c r="E3993" s="29"/>
      <c r="F3993" s="21"/>
      <c r="G3993" s="34"/>
      <c r="H3993" s="30" t="str">
        <f>_xlfn.CONCAT(H3992," - VÃO")</f>
        <v>CASA DE BOMBA - VÃO</v>
      </c>
      <c r="I3993" s="35"/>
      <c r="J3993" s="37">
        <v>-1</v>
      </c>
      <c r="K3993" s="37"/>
      <c r="L3993" s="37"/>
      <c r="M3993" s="37"/>
      <c r="N3993" s="38">
        <f>1.2*1.8</f>
        <v>2.16</v>
      </c>
      <c r="O3993" s="37">
        <f t="shared" si="99"/>
        <v>-2.16</v>
      </c>
      <c r="P3993" s="185"/>
    </row>
    <row r="3994" spans="1:17" hidden="1" outlineLevel="2">
      <c r="E3994" s="29"/>
      <c r="F3994" s="21"/>
      <c r="G3994" s="34"/>
      <c r="H3994" s="30" t="s">
        <v>4606</v>
      </c>
      <c r="I3994" s="35"/>
      <c r="J3994" s="37"/>
      <c r="K3994" s="37">
        <f>7.8+8.28</f>
        <v>16.079999999999998</v>
      </c>
      <c r="L3994" s="37"/>
      <c r="M3994" s="37">
        <v>2.5499999999999998</v>
      </c>
      <c r="N3994" s="38"/>
      <c r="O3994" s="37">
        <f t="shared" si="99"/>
        <v>41</v>
      </c>
      <c r="P3994" s="185"/>
    </row>
    <row r="3995" spans="1:17" hidden="1" outlineLevel="2">
      <c r="E3995" s="29"/>
      <c r="F3995" s="21"/>
      <c r="G3995" s="34"/>
      <c r="H3995" s="30" t="str">
        <f>_xlfn.CONCAT(H3994," - VÃO")</f>
        <v>GUARITA - VÃO</v>
      </c>
      <c r="I3995" s="35"/>
      <c r="J3995" s="37">
        <v>-1</v>
      </c>
      <c r="K3995" s="37"/>
      <c r="L3995" s="37"/>
      <c r="M3995" s="37"/>
      <c r="N3995" s="38">
        <f>2*0.6*1.1+2.2*1.1+0.9*2.1</f>
        <v>5.6300000000000008</v>
      </c>
      <c r="O3995" s="37">
        <f t="shared" si="99"/>
        <v>-5.63</v>
      </c>
      <c r="P3995" s="185"/>
    </row>
    <row r="3996" spans="1:17" hidden="1" outlineLevel="2">
      <c r="E3996" s="29"/>
      <c r="F3996" s="21"/>
      <c r="G3996" s="34"/>
      <c r="H3996" s="30" t="s">
        <v>1226</v>
      </c>
      <c r="I3996" s="35"/>
      <c r="J3996" s="37"/>
      <c r="K3996" s="37">
        <v>9.6</v>
      </c>
      <c r="L3996" s="37"/>
      <c r="M3996" s="37">
        <v>2.62</v>
      </c>
      <c r="N3996" s="38"/>
      <c r="O3996" s="37">
        <f t="shared" si="99"/>
        <v>25.15</v>
      </c>
      <c r="P3996" s="185"/>
    </row>
    <row r="3997" spans="1:17" hidden="1" outlineLevel="2">
      <c r="E3997" s="29"/>
      <c r="F3997" s="21"/>
      <c r="G3997" s="34"/>
      <c r="H3997" s="30" t="str">
        <f>_xlfn.CONCAT(H3996," - VÃO")</f>
        <v>GLP - VÃO</v>
      </c>
      <c r="I3997" s="35"/>
      <c r="J3997" s="37">
        <v>-1</v>
      </c>
      <c r="K3997" s="37"/>
      <c r="L3997" s="37"/>
      <c r="M3997" s="37"/>
      <c r="N3997" s="38">
        <f>2*1.8*2.1</f>
        <v>7.5600000000000005</v>
      </c>
      <c r="O3997" s="37">
        <f t="shared" si="99"/>
        <v>-7.56</v>
      </c>
      <c r="P3997" s="185"/>
    </row>
    <row r="3998" spans="1:17" ht="30" hidden="1" outlineLevel="1">
      <c r="A3998" s="2">
        <v>9</v>
      </c>
      <c r="B3998" s="2">
        <v>10</v>
      </c>
      <c r="C3998" s="2">
        <f>C3991+1</f>
        <v>2</v>
      </c>
      <c r="E3998" s="20" t="str">
        <f>CONCATENATE(A3998,".",B3998,".",C3998)</f>
        <v>9.10.2</v>
      </c>
      <c r="F3998" s="21" t="s">
        <v>4758</v>
      </c>
      <c r="G3998" s="22" t="s">
        <v>354</v>
      </c>
      <c r="H3998" s="23" t="s">
        <v>355</v>
      </c>
      <c r="I3998" s="24" t="s">
        <v>45</v>
      </c>
      <c r="J3998" s="32"/>
      <c r="K3998" s="10"/>
      <c r="L3998" s="32"/>
      <c r="M3998" s="10"/>
      <c r="N3998" s="33"/>
      <c r="O3998" s="11">
        <f>SUM(O3999:O4004)</f>
        <v>118.25</v>
      </c>
      <c r="P3998" s="185"/>
      <c r="Q3998" s="185"/>
    </row>
    <row r="3999" spans="1:17" hidden="1" outlineLevel="2">
      <c r="E3999" s="29"/>
      <c r="F3999" s="21"/>
      <c r="G3999" s="34"/>
      <c r="H3999" s="30" t="s">
        <v>4450</v>
      </c>
      <c r="I3999" s="35"/>
      <c r="J3999" s="37"/>
      <c r="K3999" s="37">
        <v>14.2</v>
      </c>
      <c r="L3999" s="37"/>
      <c r="M3999" s="37">
        <v>4.75</v>
      </c>
      <c r="N3999" s="38"/>
      <c r="O3999" s="37">
        <f t="shared" ref="O3999:O4004" si="100">ROUND(PRODUCT(J3999:N3999),2)</f>
        <v>67.45</v>
      </c>
      <c r="P3999" s="185"/>
    </row>
    <row r="4000" spans="1:17" hidden="1" outlineLevel="2">
      <c r="E4000" s="29"/>
      <c r="F4000" s="21"/>
      <c r="G4000" s="34"/>
      <c r="H4000" s="30" t="str">
        <f>_xlfn.CONCAT(H3999," - VÃO")</f>
        <v>CASA DE BOMBA - VÃO</v>
      </c>
      <c r="I4000" s="35"/>
      <c r="J4000" s="37">
        <v>-1</v>
      </c>
      <c r="K4000" s="37"/>
      <c r="L4000" s="37"/>
      <c r="M4000" s="37"/>
      <c r="N4000" s="38">
        <f>1.2*1.8</f>
        <v>2.16</v>
      </c>
      <c r="O4000" s="37">
        <f t="shared" si="100"/>
        <v>-2.16</v>
      </c>
      <c r="P4000" s="185"/>
    </row>
    <row r="4001" spans="1:17" hidden="1" outlineLevel="2">
      <c r="E4001" s="29"/>
      <c r="F4001" s="21"/>
      <c r="G4001" s="34"/>
      <c r="H4001" s="30" t="s">
        <v>4606</v>
      </c>
      <c r="I4001" s="35"/>
      <c r="J4001" s="37"/>
      <c r="K4001" s="37">
        <f>7.8+8.28</f>
        <v>16.079999999999998</v>
      </c>
      <c r="L4001" s="37"/>
      <c r="M4001" s="37">
        <v>2.5499999999999998</v>
      </c>
      <c r="N4001" s="38"/>
      <c r="O4001" s="37">
        <f t="shared" si="100"/>
        <v>41</v>
      </c>
      <c r="P4001" s="185"/>
    </row>
    <row r="4002" spans="1:17" hidden="1" outlineLevel="2">
      <c r="E4002" s="29"/>
      <c r="F4002" s="21"/>
      <c r="G4002" s="34"/>
      <c r="H4002" s="30" t="str">
        <f>_xlfn.CONCAT(H4001," - VÃO")</f>
        <v>GUARITA - VÃO</v>
      </c>
      <c r="I4002" s="35"/>
      <c r="J4002" s="37">
        <v>-1</v>
      </c>
      <c r="K4002" s="37"/>
      <c r="L4002" s="37"/>
      <c r="M4002" s="37"/>
      <c r="N4002" s="38">
        <f>2*0.6*1.1+2.2*1.1+0.9*2.1</f>
        <v>5.6300000000000008</v>
      </c>
      <c r="O4002" s="37">
        <f t="shared" si="100"/>
        <v>-5.63</v>
      </c>
      <c r="P4002" s="185"/>
    </row>
    <row r="4003" spans="1:17" hidden="1" outlineLevel="2">
      <c r="E4003" s="29"/>
      <c r="F4003" s="21"/>
      <c r="G4003" s="34"/>
      <c r="H4003" s="30" t="s">
        <v>1226</v>
      </c>
      <c r="I4003" s="35"/>
      <c r="J4003" s="37"/>
      <c r="K4003" s="37">
        <v>9.6</v>
      </c>
      <c r="L4003" s="37"/>
      <c r="M4003" s="37">
        <v>2.62</v>
      </c>
      <c r="N4003" s="38"/>
      <c r="O4003" s="37">
        <f t="shared" si="100"/>
        <v>25.15</v>
      </c>
      <c r="P4003" s="185"/>
    </row>
    <row r="4004" spans="1:17" hidden="1" outlineLevel="2">
      <c r="E4004" s="29"/>
      <c r="F4004" s="21"/>
      <c r="G4004" s="34"/>
      <c r="H4004" s="30" t="str">
        <f>_xlfn.CONCAT(H4003," - VÃO")</f>
        <v>GLP - VÃO</v>
      </c>
      <c r="I4004" s="35"/>
      <c r="J4004" s="37">
        <v>-1</v>
      </c>
      <c r="K4004" s="37"/>
      <c r="L4004" s="37"/>
      <c r="M4004" s="37"/>
      <c r="N4004" s="38">
        <f>2*1.8*2.1</f>
        <v>7.5600000000000005</v>
      </c>
      <c r="O4004" s="37">
        <f t="shared" si="100"/>
        <v>-7.56</v>
      </c>
      <c r="P4004" s="185"/>
    </row>
    <row r="4005" spans="1:17" ht="30" hidden="1" outlineLevel="1">
      <c r="A4005" s="2">
        <v>9</v>
      </c>
      <c r="B4005" s="2">
        <v>10</v>
      </c>
      <c r="C4005" s="2">
        <f>C3998+1</f>
        <v>3</v>
      </c>
      <c r="E4005" s="20" t="str">
        <f>CONCATENATE(A4005,".",B4005,".",C4005)</f>
        <v>9.10.3</v>
      </c>
      <c r="F4005" s="21" t="s">
        <v>4759</v>
      </c>
      <c r="G4005" s="22" t="s">
        <v>357</v>
      </c>
      <c r="H4005" s="23" t="s">
        <v>358</v>
      </c>
      <c r="I4005" s="24" t="s">
        <v>45</v>
      </c>
      <c r="J4005" s="32"/>
      <c r="K4005" s="10"/>
      <c r="L4005" s="32"/>
      <c r="M4005" s="10"/>
      <c r="N4005" s="33"/>
      <c r="O4005" s="11">
        <f>SUM(O4006:O4011)</f>
        <v>118.25</v>
      </c>
      <c r="P4005" s="185"/>
      <c r="Q4005" s="185"/>
    </row>
    <row r="4006" spans="1:17" hidden="1" outlineLevel="2">
      <c r="E4006" s="29"/>
      <c r="F4006" s="21"/>
      <c r="G4006" s="34"/>
      <c r="H4006" s="30" t="s">
        <v>4450</v>
      </c>
      <c r="I4006" s="35"/>
      <c r="J4006" s="37"/>
      <c r="K4006" s="37">
        <v>14.2</v>
      </c>
      <c r="L4006" s="37"/>
      <c r="M4006" s="37">
        <v>4.75</v>
      </c>
      <c r="N4006" s="38"/>
      <c r="O4006" s="37">
        <f t="shared" ref="O4006:O4011" si="101">ROUND(PRODUCT(J4006:N4006),2)</f>
        <v>67.45</v>
      </c>
      <c r="P4006" s="185"/>
    </row>
    <row r="4007" spans="1:17" hidden="1" outlineLevel="2">
      <c r="E4007" s="29"/>
      <c r="F4007" s="21"/>
      <c r="G4007" s="34"/>
      <c r="H4007" s="30" t="str">
        <f>_xlfn.CONCAT(H4006," - VÃO")</f>
        <v>CASA DE BOMBA - VÃO</v>
      </c>
      <c r="I4007" s="35"/>
      <c r="J4007" s="37">
        <v>-1</v>
      </c>
      <c r="K4007" s="37"/>
      <c r="L4007" s="37"/>
      <c r="M4007" s="37"/>
      <c r="N4007" s="38">
        <f>1.2*1.8</f>
        <v>2.16</v>
      </c>
      <c r="O4007" s="37">
        <f t="shared" si="101"/>
        <v>-2.16</v>
      </c>
      <c r="P4007" s="185"/>
    </row>
    <row r="4008" spans="1:17" hidden="1" outlineLevel="2">
      <c r="E4008" s="29"/>
      <c r="F4008" s="21"/>
      <c r="G4008" s="34"/>
      <c r="H4008" s="30" t="s">
        <v>4606</v>
      </c>
      <c r="I4008" s="35"/>
      <c r="J4008" s="37"/>
      <c r="K4008" s="37">
        <f>7.8+8.28</f>
        <v>16.079999999999998</v>
      </c>
      <c r="L4008" s="37"/>
      <c r="M4008" s="37">
        <v>2.5499999999999998</v>
      </c>
      <c r="N4008" s="38"/>
      <c r="O4008" s="37">
        <f t="shared" si="101"/>
        <v>41</v>
      </c>
      <c r="P4008" s="185"/>
    </row>
    <row r="4009" spans="1:17" hidden="1" outlineLevel="2">
      <c r="E4009" s="29"/>
      <c r="F4009" s="21"/>
      <c r="G4009" s="34"/>
      <c r="H4009" s="30" t="str">
        <f>_xlfn.CONCAT(H4008," - VÃO")</f>
        <v>GUARITA - VÃO</v>
      </c>
      <c r="I4009" s="35"/>
      <c r="J4009" s="37">
        <v>-1</v>
      </c>
      <c r="K4009" s="37"/>
      <c r="L4009" s="37"/>
      <c r="M4009" s="37"/>
      <c r="N4009" s="38">
        <f>2*0.6*1.1+2.2*1.1+0.9*2.1</f>
        <v>5.6300000000000008</v>
      </c>
      <c r="O4009" s="37">
        <f t="shared" si="101"/>
        <v>-5.63</v>
      </c>
      <c r="P4009" s="185"/>
    </row>
    <row r="4010" spans="1:17" hidden="1" outlineLevel="2">
      <c r="E4010" s="29"/>
      <c r="F4010" s="21"/>
      <c r="G4010" s="34"/>
      <c r="H4010" s="30" t="s">
        <v>1226</v>
      </c>
      <c r="I4010" s="35"/>
      <c r="J4010" s="37"/>
      <c r="K4010" s="37">
        <v>9.6</v>
      </c>
      <c r="L4010" s="37"/>
      <c r="M4010" s="37">
        <v>2.62</v>
      </c>
      <c r="N4010" s="38"/>
      <c r="O4010" s="37">
        <f t="shared" si="101"/>
        <v>25.15</v>
      </c>
      <c r="P4010" s="185"/>
    </row>
    <row r="4011" spans="1:17" hidden="1" outlineLevel="2">
      <c r="E4011" s="29"/>
      <c r="F4011" s="21"/>
      <c r="G4011" s="34"/>
      <c r="H4011" s="30" t="str">
        <f>_xlfn.CONCAT(H4010," - VÃO")</f>
        <v>GLP - VÃO</v>
      </c>
      <c r="I4011" s="35"/>
      <c r="J4011" s="37">
        <v>-1</v>
      </c>
      <c r="K4011" s="37"/>
      <c r="L4011" s="37"/>
      <c r="M4011" s="37"/>
      <c r="N4011" s="38">
        <f>2*1.8*2.1</f>
        <v>7.5600000000000005</v>
      </c>
      <c r="O4011" s="37">
        <f t="shared" si="101"/>
        <v>-7.56</v>
      </c>
      <c r="P4011" s="185"/>
    </row>
    <row r="4012" spans="1:17" hidden="1" outlineLevel="1">
      <c r="A4012" s="2">
        <v>9</v>
      </c>
      <c r="B4012" s="2">
        <v>10</v>
      </c>
      <c r="C4012" s="2" t="e">
        <f>#REF!+1</f>
        <v>#REF!</v>
      </c>
      <c r="E4012" s="20" t="e">
        <f>CONCATENATE(A4012,".",B4012,".",C4012)</f>
        <v>#REF!</v>
      </c>
      <c r="F4012" s="21" t="s">
        <v>4760</v>
      </c>
      <c r="G4012" s="22" t="s">
        <v>360</v>
      </c>
      <c r="H4012" s="23" t="s">
        <v>361</v>
      </c>
      <c r="I4012" s="24" t="s">
        <v>45</v>
      </c>
      <c r="J4012" s="32"/>
      <c r="K4012" s="10"/>
      <c r="L4012" s="32"/>
      <c r="M4012" s="10"/>
      <c r="N4012" s="33"/>
      <c r="O4012" s="11">
        <f>SUM(O4013:O4015)</f>
        <v>10.78</v>
      </c>
      <c r="P4012" s="185"/>
      <c r="Q4012" s="185"/>
    </row>
    <row r="4013" spans="1:17" hidden="1" outlineLevel="2">
      <c r="E4013" s="29"/>
      <c r="F4013" s="21"/>
      <c r="G4013" s="34"/>
      <c r="H4013" s="30" t="s">
        <v>4606</v>
      </c>
      <c r="I4013" s="35"/>
      <c r="J4013" s="41"/>
      <c r="K4013" s="33"/>
      <c r="L4013" s="41"/>
      <c r="M4013" s="33"/>
      <c r="N4013" s="33">
        <v>3.74</v>
      </c>
      <c r="O4013" s="31">
        <f>ROUND(PRODUCT(J4013:N4013),2)</f>
        <v>3.74</v>
      </c>
      <c r="P4013" s="185"/>
    </row>
    <row r="4014" spans="1:17" hidden="1" outlineLevel="2">
      <c r="E4014" s="29"/>
      <c r="F4014" s="21"/>
      <c r="G4014" s="34"/>
      <c r="H4014" s="30" t="s">
        <v>4694</v>
      </c>
      <c r="I4014" s="35"/>
      <c r="J4014" s="41"/>
      <c r="K4014" s="33"/>
      <c r="L4014" s="41"/>
      <c r="M4014" s="33"/>
      <c r="N4014" s="33">
        <v>2.77</v>
      </c>
      <c r="O4014" s="31">
        <f>ROUND(PRODUCT(J4014:N4014),2)</f>
        <v>2.77</v>
      </c>
      <c r="P4014" s="185"/>
    </row>
    <row r="4015" spans="1:17" hidden="1" outlineLevel="2">
      <c r="E4015" s="29"/>
      <c r="F4015" s="21"/>
      <c r="G4015" s="34"/>
      <c r="H4015" s="30" t="s">
        <v>4744</v>
      </c>
      <c r="I4015" s="35"/>
      <c r="J4015" s="41"/>
      <c r="K4015" s="33"/>
      <c r="L4015" s="41"/>
      <c r="M4015" s="33"/>
      <c r="N4015" s="33">
        <v>4.2699999999999996</v>
      </c>
      <c r="O4015" s="31">
        <f>ROUND(PRODUCT(J4015:N4015),2)</f>
        <v>4.2699999999999996</v>
      </c>
      <c r="P4015" s="185"/>
    </row>
    <row r="4016" spans="1:17" ht="30" hidden="1" outlineLevel="1">
      <c r="A4016" s="2">
        <v>9</v>
      </c>
      <c r="B4016" s="2">
        <v>10</v>
      </c>
      <c r="C4016" s="2" t="e">
        <f>C4012+1</f>
        <v>#REF!</v>
      </c>
      <c r="E4016" s="20" t="e">
        <f>CONCATENATE(A4016,".",B4016,".",C4016)</f>
        <v>#REF!</v>
      </c>
      <c r="F4016" s="21" t="s">
        <v>4761</v>
      </c>
      <c r="G4016" s="22" t="s">
        <v>363</v>
      </c>
      <c r="H4016" s="23" t="s">
        <v>364</v>
      </c>
      <c r="I4016" s="24" t="s">
        <v>45</v>
      </c>
      <c r="J4016" s="32"/>
      <c r="K4016" s="10"/>
      <c r="L4016" s="32"/>
      <c r="M4016" s="10"/>
      <c r="N4016" s="33"/>
      <c r="O4016" s="11">
        <f>SUM(O4017:O4019)</f>
        <v>10.78</v>
      </c>
      <c r="P4016" s="185"/>
      <c r="Q4016" s="185"/>
    </row>
    <row r="4017" spans="1:17" hidden="1" outlineLevel="2">
      <c r="E4017" s="29"/>
      <c r="F4017" s="21"/>
      <c r="G4017" s="34"/>
      <c r="H4017" s="30" t="s">
        <v>4606</v>
      </c>
      <c r="I4017" s="35"/>
      <c r="J4017" s="41"/>
      <c r="K4017" s="33"/>
      <c r="L4017" s="41"/>
      <c r="M4017" s="33"/>
      <c r="N4017" s="33">
        <v>3.74</v>
      </c>
      <c r="O4017" s="31">
        <f>ROUND(PRODUCT(J4017:N4017),2)</f>
        <v>3.74</v>
      </c>
      <c r="P4017" s="185"/>
    </row>
    <row r="4018" spans="1:17" hidden="1" outlineLevel="2">
      <c r="E4018" s="29"/>
      <c r="F4018" s="21"/>
      <c r="G4018" s="34"/>
      <c r="H4018" s="30" t="s">
        <v>4694</v>
      </c>
      <c r="I4018" s="35"/>
      <c r="J4018" s="41"/>
      <c r="K4018" s="33"/>
      <c r="L4018" s="41"/>
      <c r="M4018" s="33"/>
      <c r="N4018" s="33">
        <v>2.77</v>
      </c>
      <c r="O4018" s="31">
        <f>ROUND(PRODUCT(J4018:N4018),2)</f>
        <v>2.77</v>
      </c>
      <c r="P4018" s="185"/>
    </row>
    <row r="4019" spans="1:17" hidden="1" outlineLevel="2">
      <c r="E4019" s="29"/>
      <c r="F4019" s="21"/>
      <c r="G4019" s="34"/>
      <c r="H4019" s="30" t="s">
        <v>4744</v>
      </c>
      <c r="I4019" s="35"/>
      <c r="J4019" s="41"/>
      <c r="K4019" s="33"/>
      <c r="L4019" s="41"/>
      <c r="M4019" s="33"/>
      <c r="N4019" s="33">
        <v>4.2699999999999996</v>
      </c>
      <c r="O4019" s="31">
        <f>ROUND(PRODUCT(J4019:N4019),2)</f>
        <v>4.2699999999999996</v>
      </c>
      <c r="P4019" s="185"/>
    </row>
    <row r="4020" spans="1:17" ht="30" hidden="1" outlineLevel="1">
      <c r="A4020" s="2">
        <v>9</v>
      </c>
      <c r="B4020" s="2">
        <v>10</v>
      </c>
      <c r="C4020" s="2" t="e">
        <f>C4016+1</f>
        <v>#REF!</v>
      </c>
      <c r="E4020" s="20" t="e">
        <f>CONCATENATE(A4020,".",B4020,".",C4020)</f>
        <v>#REF!</v>
      </c>
      <c r="F4020" s="21" t="s">
        <v>4762</v>
      </c>
      <c r="G4020" s="22" t="s">
        <v>366</v>
      </c>
      <c r="H4020" s="23" t="s">
        <v>367</v>
      </c>
      <c r="I4020" s="24" t="s">
        <v>45</v>
      </c>
      <c r="J4020" s="32"/>
      <c r="K4020" s="10"/>
      <c r="L4020" s="32"/>
      <c r="M4020" s="10"/>
      <c r="N4020" s="33"/>
      <c r="O4020" s="11">
        <f>SUM(O4021:O4023)</f>
        <v>10.78</v>
      </c>
      <c r="P4020" s="185"/>
      <c r="Q4020" s="185"/>
    </row>
    <row r="4021" spans="1:17" hidden="1" outlineLevel="2">
      <c r="E4021" s="29"/>
      <c r="F4021" s="21"/>
      <c r="G4021" s="34"/>
      <c r="H4021" s="30" t="s">
        <v>4606</v>
      </c>
      <c r="I4021" s="35"/>
      <c r="J4021" s="41"/>
      <c r="K4021" s="33"/>
      <c r="L4021" s="41"/>
      <c r="M4021" s="33"/>
      <c r="N4021" s="33">
        <v>3.74</v>
      </c>
      <c r="O4021" s="31">
        <f>ROUND(PRODUCT(J4021:N4021),2)</f>
        <v>3.74</v>
      </c>
      <c r="P4021" s="185"/>
    </row>
    <row r="4022" spans="1:17" hidden="1" outlineLevel="2">
      <c r="E4022" s="29"/>
      <c r="F4022" s="21"/>
      <c r="G4022" s="34"/>
      <c r="H4022" s="30" t="s">
        <v>4694</v>
      </c>
      <c r="I4022" s="35"/>
      <c r="J4022" s="41"/>
      <c r="K4022" s="33"/>
      <c r="L4022" s="41"/>
      <c r="M4022" s="33"/>
      <c r="N4022" s="33">
        <v>2.77</v>
      </c>
      <c r="O4022" s="31">
        <f>ROUND(PRODUCT(J4022:N4022),2)</f>
        <v>2.77</v>
      </c>
      <c r="P4022" s="185"/>
    </row>
    <row r="4023" spans="1:17" hidden="1" outlineLevel="2">
      <c r="E4023" s="29"/>
      <c r="F4023" s="21"/>
      <c r="G4023" s="34"/>
      <c r="H4023" s="30" t="s">
        <v>4744</v>
      </c>
      <c r="I4023" s="35"/>
      <c r="J4023" s="41"/>
      <c r="K4023" s="33"/>
      <c r="L4023" s="41"/>
      <c r="M4023" s="33"/>
      <c r="N4023" s="33">
        <v>4.2699999999999996</v>
      </c>
      <c r="O4023" s="31">
        <f>ROUND(PRODUCT(J4023:N4023),2)</f>
        <v>4.2699999999999996</v>
      </c>
      <c r="P4023" s="185"/>
    </row>
    <row r="4024" spans="1:17" collapsed="1">
      <c r="A4024" s="2">
        <v>9</v>
      </c>
      <c r="B4024" s="2">
        <v>11</v>
      </c>
      <c r="E4024" s="42" t="str">
        <f>CONCATENATE(A4024,".",B4024)</f>
        <v>9.11</v>
      </c>
      <c r="F4024" s="108" t="s">
        <v>4763</v>
      </c>
      <c r="G4024" s="98"/>
      <c r="H4024" s="99" t="s">
        <v>468</v>
      </c>
      <c r="I4024" s="15"/>
      <c r="J4024" s="16"/>
      <c r="K4024" s="17"/>
      <c r="L4024" s="16"/>
      <c r="M4024" s="17"/>
      <c r="N4024" s="18"/>
      <c r="O4024" s="61"/>
      <c r="P4024" s="185"/>
      <c r="Q4024" s="185"/>
    </row>
    <row r="4025" spans="1:17" ht="30" hidden="1" outlineLevel="1">
      <c r="A4025" s="2">
        <v>9</v>
      </c>
      <c r="B4025" s="2">
        <v>11</v>
      </c>
      <c r="C4025" s="2">
        <v>1</v>
      </c>
      <c r="E4025" s="20" t="str">
        <f>CONCATENATE(A4025,".",B4025,".",C4025)</f>
        <v>9.11.1</v>
      </c>
      <c r="F4025" s="21" t="s">
        <v>4764</v>
      </c>
      <c r="G4025" s="65">
        <v>91939</v>
      </c>
      <c r="H4025" s="23" t="s">
        <v>2353</v>
      </c>
      <c r="I4025" s="24" t="s">
        <v>36</v>
      </c>
      <c r="J4025" s="32"/>
      <c r="K4025" s="10"/>
      <c r="L4025" s="32"/>
      <c r="M4025" s="10"/>
      <c r="N4025" s="33"/>
      <c r="O4025" s="11">
        <f>SUM(O4026)</f>
        <v>15</v>
      </c>
      <c r="P4025" s="185"/>
    </row>
    <row r="4026" spans="1:17" hidden="1" outlineLevel="2">
      <c r="E4026" s="59"/>
      <c r="F4026" s="60"/>
      <c r="G4026" s="34"/>
      <c r="H4026" s="30"/>
      <c r="I4026" s="35"/>
      <c r="J4026" s="41"/>
      <c r="K4026" s="10"/>
      <c r="L4026" s="32"/>
      <c r="M4026" s="10"/>
      <c r="N4026" s="33">
        <v>15</v>
      </c>
      <c r="O4026" s="31">
        <f>ROUND(PRODUCT(J4026:N4026),2)</f>
        <v>15</v>
      </c>
      <c r="P4026" s="185"/>
    </row>
    <row r="4027" spans="1:17" ht="30" hidden="1" outlineLevel="1">
      <c r="A4027" s="2">
        <v>9</v>
      </c>
      <c r="B4027" s="2">
        <v>11</v>
      </c>
      <c r="C4027" s="2">
        <f>C4025+1</f>
        <v>2</v>
      </c>
      <c r="E4027" s="20" t="str">
        <f>CONCATENATE(A4027,".",B4027,".",C4027)</f>
        <v>9.11.2</v>
      </c>
      <c r="F4027" s="21" t="s">
        <v>4765</v>
      </c>
      <c r="G4027" s="65">
        <v>91942</v>
      </c>
      <c r="H4027" s="23" t="s">
        <v>2608</v>
      </c>
      <c r="I4027" s="24" t="s">
        <v>36</v>
      </c>
      <c r="J4027" s="32"/>
      <c r="K4027" s="10"/>
      <c r="L4027" s="32"/>
      <c r="M4027" s="10"/>
      <c r="N4027" s="33"/>
      <c r="O4027" s="11">
        <f>SUM(O4028)</f>
        <v>1</v>
      </c>
      <c r="P4027" s="185"/>
    </row>
    <row r="4028" spans="1:17" hidden="1" outlineLevel="2">
      <c r="E4028" s="59"/>
      <c r="F4028" s="60"/>
      <c r="G4028" s="34"/>
      <c r="H4028" s="30"/>
      <c r="I4028" s="35"/>
      <c r="J4028" s="41"/>
      <c r="K4028" s="10"/>
      <c r="L4028" s="32"/>
      <c r="M4028" s="10"/>
      <c r="N4028" s="33">
        <v>1</v>
      </c>
      <c r="O4028" s="31">
        <f>ROUND(PRODUCT(J4028:N4028),2)</f>
        <v>1</v>
      </c>
      <c r="P4028" s="185"/>
    </row>
    <row r="4029" spans="1:17" ht="30" hidden="1" outlineLevel="1">
      <c r="A4029" s="2">
        <v>9</v>
      </c>
      <c r="B4029" s="2">
        <v>11</v>
      </c>
      <c r="C4029" s="2">
        <f>C4027+1</f>
        <v>3</v>
      </c>
      <c r="E4029" s="20" t="str">
        <f>CONCATENATE(A4029,".",B4029,".",C4029)</f>
        <v>9.11.3</v>
      </c>
      <c r="F4029" s="21" t="s">
        <v>4766</v>
      </c>
      <c r="G4029" s="65">
        <v>91936</v>
      </c>
      <c r="H4029" s="23" t="s">
        <v>540</v>
      </c>
      <c r="I4029" s="24" t="s">
        <v>36</v>
      </c>
      <c r="J4029" s="32"/>
      <c r="K4029" s="10"/>
      <c r="L4029" s="32"/>
      <c r="M4029" s="10"/>
      <c r="N4029" s="33"/>
      <c r="O4029" s="11">
        <f>SUM(O4030)</f>
        <v>13</v>
      </c>
      <c r="P4029" s="185"/>
    </row>
    <row r="4030" spans="1:17" hidden="1" outlineLevel="2">
      <c r="E4030" s="59"/>
      <c r="F4030" s="60"/>
      <c r="G4030" s="34"/>
      <c r="H4030" s="30"/>
      <c r="I4030" s="35"/>
      <c r="J4030" s="41"/>
      <c r="K4030" s="10"/>
      <c r="L4030" s="32"/>
      <c r="M4030" s="10"/>
      <c r="N4030" s="33">
        <f>8+5</f>
        <v>13</v>
      </c>
      <c r="O4030" s="31">
        <f>ROUND(PRODUCT(J4030:N4030),2)</f>
        <v>13</v>
      </c>
      <c r="P4030" s="185"/>
    </row>
    <row r="4031" spans="1:17" ht="45" hidden="1" outlineLevel="1">
      <c r="A4031" s="2">
        <v>9</v>
      </c>
      <c r="B4031" s="2">
        <v>11</v>
      </c>
      <c r="C4031" s="2">
        <f>C4029+1</f>
        <v>4</v>
      </c>
      <c r="E4031" s="20" t="str">
        <f>CONCATENATE(A4031,".",B4031,".",C4031)</f>
        <v>9.11.4</v>
      </c>
      <c r="F4031" s="21" t="s">
        <v>4767</v>
      </c>
      <c r="G4031" s="65">
        <v>93018</v>
      </c>
      <c r="H4031" s="23" t="s">
        <v>4768</v>
      </c>
      <c r="I4031" s="24" t="s">
        <v>36</v>
      </c>
      <c r="J4031" s="32"/>
      <c r="K4031" s="10"/>
      <c r="L4031" s="32"/>
      <c r="M4031" s="10"/>
      <c r="N4031" s="33"/>
      <c r="O4031" s="11">
        <f>SUM(O4032)</f>
        <v>1</v>
      </c>
      <c r="P4031" s="185"/>
    </row>
    <row r="4032" spans="1:17" hidden="1" outlineLevel="2">
      <c r="E4032" s="59"/>
      <c r="F4032" s="60"/>
      <c r="G4032" s="34"/>
      <c r="H4032" s="30"/>
      <c r="I4032" s="35"/>
      <c r="J4032" s="41"/>
      <c r="K4032" s="10"/>
      <c r="L4032" s="32"/>
      <c r="M4032" s="10"/>
      <c r="N4032" s="33">
        <v>1</v>
      </c>
      <c r="O4032" s="31">
        <f>ROUND(PRODUCT(J4032:N4032),2)</f>
        <v>1</v>
      </c>
      <c r="P4032" s="185"/>
    </row>
    <row r="4033" spans="1:17" ht="30" hidden="1" outlineLevel="1">
      <c r="A4033" s="2">
        <v>9</v>
      </c>
      <c r="B4033" s="2">
        <v>11</v>
      </c>
      <c r="C4033" s="2">
        <f>C4031+1</f>
        <v>5</v>
      </c>
      <c r="E4033" s="20" t="str">
        <f>CONCATENATE(A4033,".",B4033,".",C4033)</f>
        <v>9.11.5</v>
      </c>
      <c r="F4033" s="21" t="s">
        <v>4769</v>
      </c>
      <c r="G4033" s="65">
        <v>91876</v>
      </c>
      <c r="H4033" s="23" t="s">
        <v>549</v>
      </c>
      <c r="I4033" s="24" t="s">
        <v>36</v>
      </c>
      <c r="J4033" s="32"/>
      <c r="K4033" s="10"/>
      <c r="L4033" s="32"/>
      <c r="M4033" s="10"/>
      <c r="N4033" s="33"/>
      <c r="O4033" s="11">
        <f>SUM(O4034)</f>
        <v>11</v>
      </c>
      <c r="P4033" s="185"/>
    </row>
    <row r="4034" spans="1:17" hidden="1" outlineLevel="2">
      <c r="E4034" s="59"/>
      <c r="F4034" s="60"/>
      <c r="G4034" s="34"/>
      <c r="H4034" s="30"/>
      <c r="I4034" s="35"/>
      <c r="J4034" s="41"/>
      <c r="K4034" s="10"/>
      <c r="L4034" s="32"/>
      <c r="M4034" s="10"/>
      <c r="N4034" s="33">
        <v>11</v>
      </c>
      <c r="O4034" s="31">
        <f>ROUND(PRODUCT(J4034:N4034),2)</f>
        <v>11</v>
      </c>
      <c r="P4034" s="185"/>
    </row>
    <row r="4035" spans="1:17" ht="30" hidden="1" outlineLevel="1">
      <c r="A4035" s="2">
        <v>9</v>
      </c>
      <c r="B4035" s="2">
        <v>11</v>
      </c>
      <c r="C4035" s="2">
        <f>C4033+1</f>
        <v>6</v>
      </c>
      <c r="E4035" s="20" t="str">
        <f>CONCATENATE(A4035,".",B4035,".",C4035)</f>
        <v>9.11.6</v>
      </c>
      <c r="F4035" s="21" t="s">
        <v>4770</v>
      </c>
      <c r="G4035" s="65">
        <v>93013</v>
      </c>
      <c r="H4035" s="23" t="s">
        <v>3728</v>
      </c>
      <c r="I4035" s="24" t="s">
        <v>36</v>
      </c>
      <c r="J4035" s="32"/>
      <c r="K4035" s="10"/>
      <c r="L4035" s="32"/>
      <c r="M4035" s="10"/>
      <c r="N4035" s="33"/>
      <c r="O4035" s="11">
        <f>SUM(O4036)</f>
        <v>2</v>
      </c>
      <c r="P4035" s="185"/>
    </row>
    <row r="4036" spans="1:17" hidden="1" outlineLevel="2">
      <c r="E4036" s="59"/>
      <c r="F4036" s="60"/>
      <c r="G4036" s="34"/>
      <c r="H4036" s="30"/>
      <c r="I4036" s="35"/>
      <c r="J4036" s="41"/>
      <c r="K4036" s="10"/>
      <c r="L4036" s="32"/>
      <c r="M4036" s="10"/>
      <c r="N4036" s="33">
        <v>2</v>
      </c>
      <c r="O4036" s="31">
        <f>ROUND(PRODUCT(J4036:N4036),2)</f>
        <v>2</v>
      </c>
      <c r="P4036" s="185"/>
    </row>
    <row r="4037" spans="1:17" ht="30" hidden="1" outlineLevel="1">
      <c r="A4037" s="2">
        <v>9</v>
      </c>
      <c r="B4037" s="2">
        <v>11</v>
      </c>
      <c r="C4037" s="2">
        <f>C4035+1</f>
        <v>7</v>
      </c>
      <c r="E4037" s="20" t="str">
        <f>CONCATENATE(A4037,".",B4037,".",C4037)</f>
        <v>9.11.7</v>
      </c>
      <c r="F4037" s="21" t="s">
        <v>4771</v>
      </c>
      <c r="G4037" s="65">
        <v>91925</v>
      </c>
      <c r="H4037" s="23" t="s">
        <v>2046</v>
      </c>
      <c r="I4037" s="24" t="s">
        <v>144</v>
      </c>
      <c r="J4037" s="32"/>
      <c r="K4037" s="10"/>
      <c r="L4037" s="32"/>
      <c r="M4037" s="10"/>
      <c r="N4037" s="33"/>
      <c r="O4037" s="11">
        <f>SUM(O4038)</f>
        <v>307.89999999999998</v>
      </c>
      <c r="P4037" s="185"/>
    </row>
    <row r="4038" spans="1:17" hidden="1" outlineLevel="2">
      <c r="E4038" s="59"/>
      <c r="F4038" s="60"/>
      <c r="G4038" s="34"/>
      <c r="H4038" s="30"/>
      <c r="I4038" s="35"/>
      <c r="J4038" s="41"/>
      <c r="K4038" s="10"/>
      <c r="L4038" s="32"/>
      <c r="M4038" s="10"/>
      <c r="N4038" s="33">
        <f>109.7+120.6+14.1+63.5</f>
        <v>307.89999999999998</v>
      </c>
      <c r="O4038" s="31">
        <f>ROUND(PRODUCT(J4038:N4038),2)</f>
        <v>307.89999999999998</v>
      </c>
      <c r="P4038" s="185"/>
    </row>
    <row r="4039" spans="1:17" ht="30" hidden="1" outlineLevel="1">
      <c r="A4039" s="2">
        <v>9</v>
      </c>
      <c r="B4039" s="2">
        <v>11</v>
      </c>
      <c r="C4039" s="2">
        <f>C4037+1</f>
        <v>8</v>
      </c>
      <c r="E4039" s="20" t="str">
        <f>CONCATENATE(A4039,".",B4039,".",C4039)</f>
        <v>9.11.8</v>
      </c>
      <c r="F4039" s="21" t="s">
        <v>4772</v>
      </c>
      <c r="G4039" s="65">
        <v>92980</v>
      </c>
      <c r="H4039" s="23" t="s">
        <v>3734</v>
      </c>
      <c r="I4039" s="24" t="s">
        <v>144</v>
      </c>
      <c r="J4039" s="32"/>
      <c r="K4039" s="10"/>
      <c r="L4039" s="32"/>
      <c r="M4039" s="10"/>
      <c r="N4039" s="33"/>
      <c r="O4039" s="11">
        <f>SUM(O4040)</f>
        <v>25.4</v>
      </c>
      <c r="P4039" s="185"/>
    </row>
    <row r="4040" spans="1:17" hidden="1" outlineLevel="2">
      <c r="E4040" s="59"/>
      <c r="F4040" s="60"/>
      <c r="G4040" s="34"/>
      <c r="H4040" s="30"/>
      <c r="I4040" s="35"/>
      <c r="J4040" s="41"/>
      <c r="K4040" s="10"/>
      <c r="L4040" s="32"/>
      <c r="M4040" s="10"/>
      <c r="N4040" s="33">
        <f>12.7+12.7</f>
        <v>25.4</v>
      </c>
      <c r="O4040" s="31">
        <f>ROUND(PRODUCT(J4040:N4040),2)</f>
        <v>25.4</v>
      </c>
      <c r="P4040" s="185"/>
    </row>
    <row r="4041" spans="1:17" ht="30" hidden="1" outlineLevel="1">
      <c r="A4041" s="2">
        <v>9</v>
      </c>
      <c r="B4041" s="2">
        <v>11</v>
      </c>
      <c r="C4041" s="2">
        <f>C4039+1</f>
        <v>9</v>
      </c>
      <c r="E4041" s="20" t="str">
        <f>CONCATENATE(A4041,".",B4041,".",C4041)</f>
        <v>9.11.9</v>
      </c>
      <c r="F4041" s="21" t="s">
        <v>4773</v>
      </c>
      <c r="G4041" s="65">
        <v>91924</v>
      </c>
      <c r="H4041" s="23" t="s">
        <v>516</v>
      </c>
      <c r="I4041" s="24" t="s">
        <v>144</v>
      </c>
      <c r="J4041" s="32"/>
      <c r="K4041" s="10"/>
      <c r="L4041" s="32"/>
      <c r="M4041" s="10"/>
      <c r="N4041" s="33"/>
      <c r="O4041" s="11">
        <f>SUM(O4042)</f>
        <v>172.2</v>
      </c>
      <c r="P4041" s="185"/>
    </row>
    <row r="4042" spans="1:17" hidden="1" outlineLevel="2">
      <c r="E4042" s="59"/>
      <c r="F4042" s="60"/>
      <c r="G4042" s="34"/>
      <c r="H4042" s="30"/>
      <c r="I4042" s="35"/>
      <c r="J4042" s="41"/>
      <c r="K4042" s="10"/>
      <c r="L4042" s="32"/>
      <c r="M4042" s="10"/>
      <c r="N4042" s="33">
        <f>42.5+54.7+43.5+31.5</f>
        <v>172.2</v>
      </c>
      <c r="O4042" s="31">
        <f>ROUND(PRODUCT(J4042:N4042),2)</f>
        <v>172.2</v>
      </c>
      <c r="P4042" s="185"/>
    </row>
    <row r="4043" spans="1:17" ht="30" hidden="1" outlineLevel="1">
      <c r="A4043" s="2">
        <v>9</v>
      </c>
      <c r="B4043" s="2">
        <v>11</v>
      </c>
      <c r="C4043" s="2">
        <f>C4041+1</f>
        <v>10</v>
      </c>
      <c r="E4043" s="20" t="str">
        <f>CONCATENATE(A4043,".",B4043,".",C4043)</f>
        <v>9.11.10</v>
      </c>
      <c r="F4043" s="21" t="s">
        <v>4774</v>
      </c>
      <c r="G4043" s="65">
        <v>91926</v>
      </c>
      <c r="H4043" s="23" t="s">
        <v>519</v>
      </c>
      <c r="I4043" s="24" t="s">
        <v>144</v>
      </c>
      <c r="J4043" s="32"/>
      <c r="K4043" s="10"/>
      <c r="L4043" s="32"/>
      <c r="M4043" s="10"/>
      <c r="N4043" s="33"/>
      <c r="O4043" s="11">
        <f>SUM(O4044:O4045)</f>
        <v>220.3</v>
      </c>
      <c r="P4043" s="185"/>
    </row>
    <row r="4044" spans="1:17" hidden="1" outlineLevel="2">
      <c r="E4044" s="20"/>
      <c r="F4044" s="21"/>
      <c r="G4044" s="65"/>
      <c r="H4044" s="30" t="s">
        <v>3746</v>
      </c>
      <c r="I4044" s="24"/>
      <c r="J4044" s="32"/>
      <c r="K4044" s="10"/>
      <c r="L4044" s="32"/>
      <c r="M4044" s="10"/>
      <c r="N4044" s="33">
        <v>32</v>
      </c>
      <c r="O4044" s="31">
        <f>ROUND(PRODUCT(J4044:N4044),2)</f>
        <v>32</v>
      </c>
      <c r="P4044" s="185"/>
      <c r="Q4044" s="185"/>
    </row>
    <row r="4045" spans="1:17" hidden="1" outlineLevel="2">
      <c r="E4045" s="59"/>
      <c r="F4045" s="60"/>
      <c r="G4045" s="34"/>
      <c r="H4045" s="30"/>
      <c r="I4045" s="35"/>
      <c r="J4045" s="41"/>
      <c r="K4045" s="10"/>
      <c r="L4045" s="32"/>
      <c r="M4045" s="10"/>
      <c r="N4045" s="33">
        <f>52.8+52.8+47.3+11.8+11.8+11.8</f>
        <v>188.3</v>
      </c>
      <c r="O4045" s="31">
        <f>ROUND(PRODUCT(J4045:N4045),2)</f>
        <v>188.3</v>
      </c>
      <c r="P4045" s="185"/>
    </row>
    <row r="4046" spans="1:17" ht="30" hidden="1" outlineLevel="1">
      <c r="A4046" s="2">
        <v>9</v>
      </c>
      <c r="B4046" s="2">
        <v>11</v>
      </c>
      <c r="C4046" s="2">
        <f>C4043+1</f>
        <v>11</v>
      </c>
      <c r="E4046" s="20" t="str">
        <f>CONCATENATE(A4046,".",B4046,".",C4046)</f>
        <v>9.11.11</v>
      </c>
      <c r="F4046" s="21" t="s">
        <v>4775</v>
      </c>
      <c r="G4046" s="65">
        <v>91959</v>
      </c>
      <c r="H4046" s="23" t="s">
        <v>579</v>
      </c>
      <c r="I4046" s="24" t="s">
        <v>36</v>
      </c>
      <c r="J4046" s="32"/>
      <c r="K4046" s="10"/>
      <c r="L4046" s="32"/>
      <c r="M4046" s="10"/>
      <c r="N4046" s="33"/>
      <c r="O4046" s="11">
        <f>SUM(O4047)</f>
        <v>1</v>
      </c>
      <c r="P4046" s="185"/>
    </row>
    <row r="4047" spans="1:17" hidden="1" outlineLevel="2">
      <c r="E4047" s="59"/>
      <c r="F4047" s="60"/>
      <c r="G4047" s="34"/>
      <c r="H4047" s="30"/>
      <c r="I4047" s="35"/>
      <c r="J4047" s="41"/>
      <c r="K4047" s="10"/>
      <c r="L4047" s="32"/>
      <c r="M4047" s="10"/>
      <c r="N4047" s="33">
        <v>1</v>
      </c>
      <c r="O4047" s="31">
        <f>ROUND(PRODUCT(J4047:N4047),2)</f>
        <v>1</v>
      </c>
      <c r="P4047" s="185"/>
    </row>
    <row r="4048" spans="1:17" ht="30" hidden="1" outlineLevel="1">
      <c r="A4048" s="2">
        <v>9</v>
      </c>
      <c r="B4048" s="2">
        <v>11</v>
      </c>
      <c r="C4048" s="2">
        <f>C4046+1</f>
        <v>12</v>
      </c>
      <c r="E4048" s="20" t="str">
        <f>CONCATENATE(A4048,".",B4048,".",C4048)</f>
        <v>9.11.12</v>
      </c>
      <c r="F4048" s="21" t="s">
        <v>4776</v>
      </c>
      <c r="G4048" s="65">
        <v>91967</v>
      </c>
      <c r="H4048" s="23" t="s">
        <v>582</v>
      </c>
      <c r="I4048" s="24" t="s">
        <v>36</v>
      </c>
      <c r="J4048" s="32"/>
      <c r="K4048" s="10"/>
      <c r="L4048" s="32"/>
      <c r="M4048" s="10"/>
      <c r="N4048" s="33"/>
      <c r="O4048" s="11">
        <f>SUM(O4049)</f>
        <v>1</v>
      </c>
      <c r="P4048" s="185"/>
    </row>
    <row r="4049" spans="1:16" hidden="1" outlineLevel="2">
      <c r="E4049" s="59"/>
      <c r="F4049" s="60"/>
      <c r="G4049" s="34"/>
      <c r="H4049" s="30"/>
      <c r="I4049" s="35"/>
      <c r="J4049" s="41"/>
      <c r="K4049" s="10"/>
      <c r="L4049" s="32"/>
      <c r="M4049" s="10"/>
      <c r="N4049" s="33">
        <v>1</v>
      </c>
      <c r="O4049" s="31">
        <f>ROUND(PRODUCT(J4049:N4049),2)</f>
        <v>1</v>
      </c>
      <c r="P4049" s="185"/>
    </row>
    <row r="4050" spans="1:16" ht="30" hidden="1" outlineLevel="1">
      <c r="A4050" s="2">
        <v>9</v>
      </c>
      <c r="B4050" s="2">
        <v>11</v>
      </c>
      <c r="C4050" s="2">
        <f>C4048+1</f>
        <v>13</v>
      </c>
      <c r="E4050" s="20" t="str">
        <f>CONCATENATE(A4050,".",B4050,".",C4050)</f>
        <v>9.11.13</v>
      </c>
      <c r="F4050" s="21" t="s">
        <v>4777</v>
      </c>
      <c r="G4050" s="65">
        <v>92000</v>
      </c>
      <c r="H4050" s="23" t="s">
        <v>591</v>
      </c>
      <c r="I4050" s="24" t="s">
        <v>36</v>
      </c>
      <c r="J4050" s="32"/>
      <c r="K4050" s="10"/>
      <c r="L4050" s="32"/>
      <c r="M4050" s="10"/>
      <c r="N4050" s="33"/>
      <c r="O4050" s="11">
        <f>SUM(O4051)</f>
        <v>8</v>
      </c>
      <c r="P4050" s="185"/>
    </row>
    <row r="4051" spans="1:16" hidden="1" outlineLevel="2">
      <c r="E4051" s="59"/>
      <c r="F4051" s="60"/>
      <c r="G4051" s="34"/>
      <c r="H4051" s="30"/>
      <c r="I4051" s="35"/>
      <c r="J4051" s="41"/>
      <c r="K4051" s="10"/>
      <c r="L4051" s="32"/>
      <c r="M4051" s="10"/>
      <c r="N4051" s="33">
        <f>7+1</f>
        <v>8</v>
      </c>
      <c r="O4051" s="31">
        <f>ROUND(PRODUCT(J4051:N4051),2)</f>
        <v>8</v>
      </c>
      <c r="P4051" s="185"/>
    </row>
    <row r="4052" spans="1:16" ht="38.25" hidden="1" customHeight="1" outlineLevel="1">
      <c r="A4052" s="2">
        <v>9</v>
      </c>
      <c r="B4052" s="2">
        <v>11</v>
      </c>
      <c r="C4052" s="2">
        <f>C4050+1</f>
        <v>14</v>
      </c>
      <c r="E4052" s="20" t="str">
        <f>CONCATENATE(A4052,".",B4052,".",C4052)</f>
        <v>9.11.14</v>
      </c>
      <c r="F4052" s="21" t="s">
        <v>4778</v>
      </c>
      <c r="G4052" s="65">
        <v>101632</v>
      </c>
      <c r="H4052" s="23" t="s">
        <v>4520</v>
      </c>
      <c r="I4052" s="24" t="s">
        <v>36</v>
      </c>
      <c r="J4052" s="32"/>
      <c r="K4052" s="10"/>
      <c r="L4052" s="32"/>
      <c r="M4052" s="10"/>
      <c r="N4052" s="33"/>
      <c r="O4052" s="11">
        <f>SUM(O4053)</f>
        <v>1</v>
      </c>
      <c r="P4052" s="185"/>
    </row>
    <row r="4053" spans="1:16" hidden="1" outlineLevel="2">
      <c r="E4053" s="59"/>
      <c r="F4053" s="60"/>
      <c r="G4053" s="34"/>
      <c r="H4053" s="30"/>
      <c r="I4053" s="35"/>
      <c r="J4053" s="41"/>
      <c r="K4053" s="10"/>
      <c r="L4053" s="32"/>
      <c r="M4053" s="10"/>
      <c r="N4053" s="33">
        <v>1</v>
      </c>
      <c r="O4053" s="31">
        <f>ROUND(PRODUCT(J4053:N4053),2)</f>
        <v>1</v>
      </c>
      <c r="P4053" s="185"/>
    </row>
    <row r="4054" spans="1:16" ht="38.25" hidden="1" customHeight="1" outlineLevel="1">
      <c r="A4054" s="2">
        <v>9</v>
      </c>
      <c r="B4054" s="2">
        <v>11</v>
      </c>
      <c r="C4054" s="2">
        <f>C4052+1</f>
        <v>15</v>
      </c>
      <c r="E4054" s="20" t="str">
        <f>CONCATENATE(A4054,".",B4054,".",C4054)</f>
        <v>9.11.15</v>
      </c>
      <c r="F4054" s="21" t="s">
        <v>4779</v>
      </c>
      <c r="G4054" s="65">
        <v>93654</v>
      </c>
      <c r="H4054" s="23" t="s">
        <v>510</v>
      </c>
      <c r="I4054" s="24" t="s">
        <v>36</v>
      </c>
      <c r="J4054" s="32"/>
      <c r="K4054" s="10"/>
      <c r="L4054" s="32"/>
      <c r="M4054" s="10"/>
      <c r="N4054" s="33"/>
      <c r="O4054" s="11">
        <f>SUM(O4055)</f>
        <v>4</v>
      </c>
      <c r="P4054" s="185"/>
    </row>
    <row r="4055" spans="1:16" hidden="1" outlineLevel="2">
      <c r="E4055" s="59"/>
      <c r="F4055" s="60"/>
      <c r="G4055" s="34"/>
      <c r="H4055" s="30"/>
      <c r="I4055" s="35"/>
      <c r="J4055" s="41"/>
      <c r="K4055" s="10"/>
      <c r="L4055" s="32"/>
      <c r="M4055" s="10"/>
      <c r="N4055" s="33">
        <v>4</v>
      </c>
      <c r="O4055" s="31">
        <f>ROUND(PRODUCT(J4055:N4055),2)</f>
        <v>4</v>
      </c>
      <c r="P4055" s="185"/>
    </row>
    <row r="4056" spans="1:16" ht="38.25" hidden="1" customHeight="1" outlineLevel="1">
      <c r="A4056" s="2">
        <v>9</v>
      </c>
      <c r="B4056" s="2">
        <v>11</v>
      </c>
      <c r="C4056" s="2">
        <f>C4054+1</f>
        <v>16</v>
      </c>
      <c r="E4056" s="20" t="str">
        <f>CONCATENATE(A4056,".",B4056,".",C4056)</f>
        <v>9.11.16</v>
      </c>
      <c r="F4056" s="21" t="s">
        <v>4780</v>
      </c>
      <c r="G4056" s="65">
        <v>93655</v>
      </c>
      <c r="H4056" s="23" t="s">
        <v>507</v>
      </c>
      <c r="I4056" s="24" t="s">
        <v>36</v>
      </c>
      <c r="J4056" s="32"/>
      <c r="K4056" s="10"/>
      <c r="L4056" s="32"/>
      <c r="M4056" s="10"/>
      <c r="N4056" s="33"/>
      <c r="O4056" s="11">
        <f>SUM(O4057)</f>
        <v>3</v>
      </c>
      <c r="P4056" s="185"/>
    </row>
    <row r="4057" spans="1:16" hidden="1" outlineLevel="2">
      <c r="E4057" s="59"/>
      <c r="F4057" s="60"/>
      <c r="G4057" s="34"/>
      <c r="H4057" s="30"/>
      <c r="I4057" s="35"/>
      <c r="J4057" s="41"/>
      <c r="K4057" s="10"/>
      <c r="L4057" s="32"/>
      <c r="M4057" s="10"/>
      <c r="N4057" s="33">
        <v>3</v>
      </c>
      <c r="O4057" s="31">
        <f>ROUND(PRODUCT(J4057:N4057),2)</f>
        <v>3</v>
      </c>
      <c r="P4057" s="185"/>
    </row>
    <row r="4058" spans="1:16" ht="38.25" hidden="1" customHeight="1" outlineLevel="1">
      <c r="A4058" s="2">
        <v>9</v>
      </c>
      <c r="B4058" s="2">
        <v>11</v>
      </c>
      <c r="C4058" s="2">
        <f>C4056+1</f>
        <v>17</v>
      </c>
      <c r="E4058" s="20" t="str">
        <f>CONCATENATE(A4058,".",B4058,".",C4058)</f>
        <v>9.11.17</v>
      </c>
      <c r="F4058" s="21" t="s">
        <v>4781</v>
      </c>
      <c r="G4058" s="65">
        <v>93657</v>
      </c>
      <c r="H4058" s="23" t="s">
        <v>4782</v>
      </c>
      <c r="I4058" s="24" t="s">
        <v>36</v>
      </c>
      <c r="J4058" s="32"/>
      <c r="K4058" s="10"/>
      <c r="L4058" s="32"/>
      <c r="M4058" s="10"/>
      <c r="N4058" s="33"/>
      <c r="O4058" s="11">
        <f>SUM(O4059)</f>
        <v>1</v>
      </c>
      <c r="P4058" s="185"/>
    </row>
    <row r="4059" spans="1:16" hidden="1" outlineLevel="2">
      <c r="E4059" s="59"/>
      <c r="F4059" s="60"/>
      <c r="G4059" s="34"/>
      <c r="H4059" s="30"/>
      <c r="I4059" s="35"/>
      <c r="J4059" s="41"/>
      <c r="K4059" s="10"/>
      <c r="L4059" s="32"/>
      <c r="M4059" s="10"/>
      <c r="N4059" s="33">
        <v>1</v>
      </c>
      <c r="O4059" s="31">
        <f>ROUND(PRODUCT(J4059:N4059),2)</f>
        <v>1</v>
      </c>
      <c r="P4059" s="185"/>
    </row>
    <row r="4060" spans="1:16" ht="38.25" hidden="1" customHeight="1" outlineLevel="1">
      <c r="A4060" s="2">
        <v>9</v>
      </c>
      <c r="B4060" s="2">
        <v>11</v>
      </c>
      <c r="C4060" s="2">
        <f>C4058+1</f>
        <v>18</v>
      </c>
      <c r="E4060" s="20" t="str">
        <f>CONCATENATE(A4060,".",B4060,".",C4060)</f>
        <v>9.11.18</v>
      </c>
      <c r="F4060" s="21" t="s">
        <v>4783</v>
      </c>
      <c r="G4060" s="65">
        <v>93659</v>
      </c>
      <c r="H4060" s="23" t="s">
        <v>4784</v>
      </c>
      <c r="I4060" s="24" t="s">
        <v>36</v>
      </c>
      <c r="J4060" s="32"/>
      <c r="K4060" s="10"/>
      <c r="L4060" s="32"/>
      <c r="M4060" s="10"/>
      <c r="N4060" s="33"/>
      <c r="O4060" s="11">
        <f>SUM(O4061)</f>
        <v>1</v>
      </c>
      <c r="P4060" s="185"/>
    </row>
    <row r="4061" spans="1:16" hidden="1" outlineLevel="2">
      <c r="E4061" s="59"/>
      <c r="F4061" s="60"/>
      <c r="G4061" s="34"/>
      <c r="H4061" s="30"/>
      <c r="I4061" s="35"/>
      <c r="J4061" s="41"/>
      <c r="K4061" s="10"/>
      <c r="L4061" s="32"/>
      <c r="M4061" s="10"/>
      <c r="N4061" s="33">
        <v>1</v>
      </c>
      <c r="O4061" s="31">
        <f>ROUND(PRODUCT(J4061:N4061),2)</f>
        <v>1</v>
      </c>
      <c r="P4061" s="185"/>
    </row>
    <row r="4062" spans="1:16" ht="38.25" hidden="1" customHeight="1" outlineLevel="1">
      <c r="A4062" s="2">
        <v>9</v>
      </c>
      <c r="B4062" s="2">
        <v>11</v>
      </c>
      <c r="C4062" s="2">
        <f>C4060+1</f>
        <v>19</v>
      </c>
      <c r="E4062" s="20" t="str">
        <f>CONCATENATE(A4062,".",B4062,".",C4062)</f>
        <v>9.11.19</v>
      </c>
      <c r="F4062" s="21" t="s">
        <v>4785</v>
      </c>
      <c r="G4062" s="65">
        <v>91857</v>
      </c>
      <c r="H4062" s="23" t="s">
        <v>3774</v>
      </c>
      <c r="I4062" s="24" t="s">
        <v>144</v>
      </c>
      <c r="J4062" s="32"/>
      <c r="K4062" s="10"/>
      <c r="L4062" s="32"/>
      <c r="M4062" s="10"/>
      <c r="N4062" s="33"/>
      <c r="O4062" s="11">
        <f>SUM(O4063)</f>
        <v>21.8</v>
      </c>
      <c r="P4062" s="185"/>
    </row>
    <row r="4063" spans="1:16" hidden="1" outlineLevel="2">
      <c r="E4063" s="59"/>
      <c r="F4063" s="60"/>
      <c r="G4063" s="34"/>
      <c r="H4063" s="30"/>
      <c r="I4063" s="35"/>
      <c r="J4063" s="41"/>
      <c r="K4063" s="10"/>
      <c r="L4063" s="32"/>
      <c r="M4063" s="10"/>
      <c r="N4063" s="33">
        <v>21.8</v>
      </c>
      <c r="O4063" s="31">
        <f>ROUND(PRODUCT(J4063:N4063),2)</f>
        <v>21.8</v>
      </c>
      <c r="P4063" s="185"/>
    </row>
    <row r="4064" spans="1:16" ht="45" hidden="1" outlineLevel="1">
      <c r="A4064" s="2">
        <v>9</v>
      </c>
      <c r="B4064" s="2">
        <v>11</v>
      </c>
      <c r="C4064" s="2">
        <f>C4062+1</f>
        <v>20</v>
      </c>
      <c r="E4064" s="20" t="str">
        <f>CONCATENATE(A4064,".",B4064,".",C4064)</f>
        <v>9.11.20</v>
      </c>
      <c r="F4064" s="21" t="s">
        <v>4786</v>
      </c>
      <c r="G4064" s="65">
        <v>91855</v>
      </c>
      <c r="H4064" s="23" t="s">
        <v>3776</v>
      </c>
      <c r="I4064" s="24" t="s">
        <v>144</v>
      </c>
      <c r="J4064" s="32"/>
      <c r="K4064" s="10"/>
      <c r="L4064" s="32"/>
      <c r="M4064" s="10"/>
      <c r="N4064" s="33"/>
      <c r="O4064" s="11">
        <f>SUM(O4065)</f>
        <v>88</v>
      </c>
      <c r="P4064" s="185"/>
    </row>
    <row r="4065" spans="1:16" hidden="1" outlineLevel="2">
      <c r="E4065" s="59"/>
      <c r="F4065" s="60"/>
      <c r="G4065" s="34"/>
      <c r="H4065" s="30"/>
      <c r="I4065" s="35"/>
      <c r="J4065" s="41"/>
      <c r="K4065" s="10"/>
      <c r="L4065" s="32"/>
      <c r="M4065" s="10"/>
      <c r="N4065" s="33">
        <v>88</v>
      </c>
      <c r="O4065" s="31">
        <f>ROUND(PRODUCT(J4065:N4065),2)</f>
        <v>88</v>
      </c>
      <c r="P4065" s="185"/>
    </row>
    <row r="4066" spans="1:16" ht="30" hidden="1" outlineLevel="1">
      <c r="A4066" s="2">
        <v>9</v>
      </c>
      <c r="B4066" s="2">
        <v>11</v>
      </c>
      <c r="C4066" s="2">
        <f>C4064+1</f>
        <v>21</v>
      </c>
      <c r="E4066" s="20" t="str">
        <f>CONCATENATE(A4066,".",B4066,".",C4066)</f>
        <v>9.11.21</v>
      </c>
      <c r="F4066" s="21" t="s">
        <v>4787</v>
      </c>
      <c r="G4066" s="65">
        <v>97667</v>
      </c>
      <c r="H4066" s="23" t="s">
        <v>670</v>
      </c>
      <c r="I4066" s="24" t="s">
        <v>144</v>
      </c>
      <c r="J4066" s="32"/>
      <c r="K4066" s="10"/>
      <c r="L4066" s="32"/>
      <c r="M4066" s="10"/>
      <c r="N4066" s="33"/>
      <c r="O4066" s="11">
        <f>SUM(O4067)</f>
        <v>16.899999999999999</v>
      </c>
      <c r="P4066" s="185"/>
    </row>
    <row r="4067" spans="1:16" hidden="1" outlineLevel="2">
      <c r="E4067" s="59"/>
      <c r="F4067" s="60"/>
      <c r="G4067" s="34"/>
      <c r="H4067" s="30"/>
      <c r="I4067" s="35"/>
      <c r="J4067" s="41"/>
      <c r="K4067" s="10"/>
      <c r="L4067" s="32"/>
      <c r="M4067" s="10"/>
      <c r="N4067" s="33">
        <v>16.899999999999999</v>
      </c>
      <c r="O4067" s="31">
        <f>ROUND(PRODUCT(J4067:N4067),2)</f>
        <v>16.899999999999999</v>
      </c>
      <c r="P4067" s="185"/>
    </row>
    <row r="4068" spans="1:16" ht="30" hidden="1" outlineLevel="1">
      <c r="A4068" s="2">
        <v>9</v>
      </c>
      <c r="B4068" s="2">
        <v>11</v>
      </c>
      <c r="C4068" s="2">
        <f>C4066+1</f>
        <v>22</v>
      </c>
      <c r="E4068" s="20" t="str">
        <f>CONCATENATE(A4068,".",B4068,".",C4068)</f>
        <v>9.11.22</v>
      </c>
      <c r="F4068" s="21" t="s">
        <v>4788</v>
      </c>
      <c r="G4068" s="65">
        <v>91860</v>
      </c>
      <c r="H4068" s="23" t="s">
        <v>4789</v>
      </c>
      <c r="I4068" s="24" t="s">
        <v>144</v>
      </c>
      <c r="J4068" s="32"/>
      <c r="K4068" s="10"/>
      <c r="L4068" s="32"/>
      <c r="M4068" s="10"/>
      <c r="N4068" s="33"/>
      <c r="O4068" s="11">
        <f>SUM(O4069)</f>
        <v>32.200000000000003</v>
      </c>
      <c r="P4068" s="185"/>
    </row>
    <row r="4069" spans="1:16" hidden="1" outlineLevel="2">
      <c r="E4069" s="59"/>
      <c r="F4069" s="60"/>
      <c r="G4069" s="34"/>
      <c r="H4069" s="30"/>
      <c r="I4069" s="35"/>
      <c r="J4069" s="41"/>
      <c r="K4069" s="10"/>
      <c r="L4069" s="32"/>
      <c r="M4069" s="10"/>
      <c r="N4069" s="33">
        <v>32.200000000000003</v>
      </c>
      <c r="O4069" s="31">
        <f>ROUND(PRODUCT(J4069:N4069),2)</f>
        <v>32.200000000000003</v>
      </c>
      <c r="P4069" s="185"/>
    </row>
    <row r="4070" spans="1:16" ht="30" hidden="1" outlineLevel="1">
      <c r="A4070" s="2">
        <v>9</v>
      </c>
      <c r="B4070" s="2">
        <v>11</v>
      </c>
      <c r="C4070" s="2">
        <f>C4068+1</f>
        <v>23</v>
      </c>
      <c r="E4070" s="20" t="str">
        <f>CONCATENATE(A4070,".",B4070,".",C4070)</f>
        <v>9.11.23</v>
      </c>
      <c r="F4070" s="21" t="s">
        <v>4790</v>
      </c>
      <c r="G4070" s="65">
        <v>97668</v>
      </c>
      <c r="H4070" s="23" t="s">
        <v>2416</v>
      </c>
      <c r="I4070" s="24" t="s">
        <v>144</v>
      </c>
      <c r="J4070" s="32"/>
      <c r="K4070" s="10"/>
      <c r="L4070" s="32"/>
      <c r="M4070" s="10"/>
      <c r="N4070" s="33"/>
      <c r="O4070" s="11">
        <f>SUM(O4071)</f>
        <v>23.5</v>
      </c>
      <c r="P4070" s="185"/>
    </row>
    <row r="4071" spans="1:16" hidden="1" outlineLevel="2">
      <c r="E4071" s="59"/>
      <c r="F4071" s="60"/>
      <c r="G4071" s="34"/>
      <c r="H4071" s="30"/>
      <c r="I4071" s="35"/>
      <c r="J4071" s="41"/>
      <c r="K4071" s="10"/>
      <c r="L4071" s="32"/>
      <c r="M4071" s="10"/>
      <c r="N4071" s="33">
        <v>23.5</v>
      </c>
      <c r="O4071" s="31">
        <f>ROUND(PRODUCT(J4071:N4071),2)</f>
        <v>23.5</v>
      </c>
      <c r="P4071" s="185"/>
    </row>
    <row r="4072" spans="1:16" ht="60" hidden="1" outlineLevel="1">
      <c r="A4072" s="2">
        <v>9</v>
      </c>
      <c r="B4072" s="2">
        <v>11</v>
      </c>
      <c r="C4072" s="2">
        <f>C4070+1</f>
        <v>24</v>
      </c>
      <c r="E4072" s="20" t="str">
        <f>CONCATENATE(A4072,".",B4072,".",C4072)</f>
        <v>9.11.24</v>
      </c>
      <c r="F4072" s="21" t="s">
        <v>4791</v>
      </c>
      <c r="G4072" s="65">
        <v>91179</v>
      </c>
      <c r="H4072" s="23" t="s">
        <v>4792</v>
      </c>
      <c r="I4072" s="24" t="s">
        <v>144</v>
      </c>
      <c r="J4072" s="32"/>
      <c r="K4072" s="10"/>
      <c r="L4072" s="32"/>
      <c r="M4072" s="10"/>
      <c r="N4072" s="33"/>
      <c r="O4072" s="11">
        <f>SUM(O4073)</f>
        <v>89</v>
      </c>
      <c r="P4072" s="185"/>
    </row>
    <row r="4073" spans="1:16" hidden="1" outlineLevel="2">
      <c r="E4073" s="59"/>
      <c r="F4073" s="60"/>
      <c r="G4073" s="34"/>
      <c r="H4073" s="30"/>
      <c r="I4073" s="35"/>
      <c r="J4073" s="41"/>
      <c r="K4073" s="10"/>
      <c r="L4073" s="32"/>
      <c r="M4073" s="10"/>
      <c r="N4073" s="33">
        <f>55+34</f>
        <v>89</v>
      </c>
      <c r="O4073" s="31">
        <f>ROUND(PRODUCT(J4073:N4073),2)</f>
        <v>89</v>
      </c>
      <c r="P4073" s="185"/>
    </row>
    <row r="4074" spans="1:16" ht="30" hidden="1" outlineLevel="1">
      <c r="A4074" s="2">
        <v>9</v>
      </c>
      <c r="B4074" s="2">
        <v>11</v>
      </c>
      <c r="C4074" s="2">
        <f>C4072+1</f>
        <v>25</v>
      </c>
      <c r="E4074" s="20" t="str">
        <f>CONCATENATE(A4074,".",B4074,".",C4074)</f>
        <v>9.11.25</v>
      </c>
      <c r="F4074" s="21" t="s">
        <v>4793</v>
      </c>
      <c r="G4074" s="65">
        <v>91864</v>
      </c>
      <c r="H4074" s="23" t="s">
        <v>3374</v>
      </c>
      <c r="I4074" s="24" t="s">
        <v>144</v>
      </c>
      <c r="J4074" s="32"/>
      <c r="K4074" s="10"/>
      <c r="L4074" s="32"/>
      <c r="M4074" s="10"/>
      <c r="N4074" s="33"/>
      <c r="O4074" s="11">
        <f>SUM(O4075)</f>
        <v>52.6</v>
      </c>
      <c r="P4074" s="185"/>
    </row>
    <row r="4075" spans="1:16" hidden="1" outlineLevel="2">
      <c r="E4075" s="59"/>
      <c r="F4075" s="60"/>
      <c r="G4075" s="34"/>
      <c r="H4075" s="30"/>
      <c r="I4075" s="35"/>
      <c r="J4075" s="41"/>
      <c r="K4075" s="10"/>
      <c r="L4075" s="32"/>
      <c r="M4075" s="10"/>
      <c r="N4075" s="33">
        <v>52.6</v>
      </c>
      <c r="O4075" s="31">
        <f>ROUND(PRODUCT(J4075:N4075),2)</f>
        <v>52.6</v>
      </c>
      <c r="P4075" s="185"/>
    </row>
    <row r="4076" spans="1:16" ht="30" hidden="1" outlineLevel="1">
      <c r="A4076" s="2">
        <v>9</v>
      </c>
      <c r="B4076" s="2">
        <v>11</v>
      </c>
      <c r="C4076" s="2">
        <f>C4074+1</f>
        <v>26</v>
      </c>
      <c r="E4076" s="20" t="str">
        <f>CONCATENATE(A4076,".",B4076,".",C4076)</f>
        <v>9.11.26</v>
      </c>
      <c r="F4076" s="21" t="s">
        <v>4794</v>
      </c>
      <c r="G4076" s="65">
        <v>93008</v>
      </c>
      <c r="H4076" s="23" t="s">
        <v>2644</v>
      </c>
      <c r="I4076" s="24" t="s">
        <v>144</v>
      </c>
      <c r="J4076" s="32"/>
      <c r="K4076" s="10"/>
      <c r="L4076" s="32"/>
      <c r="M4076" s="10"/>
      <c r="N4076" s="33"/>
      <c r="O4076" s="11">
        <f>SUM(O4077)</f>
        <v>1</v>
      </c>
      <c r="P4076" s="185"/>
    </row>
    <row r="4077" spans="1:16" hidden="1" outlineLevel="2">
      <c r="E4077" s="59"/>
      <c r="F4077" s="60"/>
      <c r="G4077" s="34"/>
      <c r="H4077" s="30"/>
      <c r="I4077" s="35"/>
      <c r="J4077" s="41"/>
      <c r="K4077" s="10"/>
      <c r="L4077" s="32"/>
      <c r="M4077" s="10"/>
      <c r="N4077" s="33">
        <v>1</v>
      </c>
      <c r="O4077" s="31">
        <f>ROUND(PRODUCT(J4077:N4077),2)</f>
        <v>1</v>
      </c>
      <c r="P4077" s="185"/>
    </row>
    <row r="4078" spans="1:16" ht="30" hidden="1" outlineLevel="1">
      <c r="A4078" s="2">
        <v>9</v>
      </c>
      <c r="B4078" s="2">
        <v>11</v>
      </c>
      <c r="C4078" s="2">
        <f>C4076+1</f>
        <v>27</v>
      </c>
      <c r="E4078" s="20" t="str">
        <f>CONCATENATE(A4078,".",B4078,".",C4078)</f>
        <v>9.11.27</v>
      </c>
      <c r="F4078" s="21" t="s">
        <v>4795</v>
      </c>
      <c r="G4078" s="65">
        <v>91862</v>
      </c>
      <c r="H4078" s="23" t="s">
        <v>3782</v>
      </c>
      <c r="I4078" s="24" t="s">
        <v>144</v>
      </c>
      <c r="J4078" s="32"/>
      <c r="K4078" s="10"/>
      <c r="L4078" s="32"/>
      <c r="M4078" s="10"/>
      <c r="N4078" s="33"/>
      <c r="O4078" s="11">
        <f>SUM(O4079)</f>
        <v>1</v>
      </c>
      <c r="P4078" s="185"/>
    </row>
    <row r="4079" spans="1:16" hidden="1" outlineLevel="2">
      <c r="E4079" s="59"/>
      <c r="F4079" s="60"/>
      <c r="G4079" s="34"/>
      <c r="H4079" s="30"/>
      <c r="I4079" s="35"/>
      <c r="J4079" s="41"/>
      <c r="K4079" s="10"/>
      <c r="L4079" s="32"/>
      <c r="M4079" s="10"/>
      <c r="N4079" s="33">
        <v>1</v>
      </c>
      <c r="O4079" s="31">
        <f>ROUND(PRODUCT(J4079:N4079),2)</f>
        <v>1</v>
      </c>
      <c r="P4079" s="185"/>
    </row>
    <row r="4080" spans="1:16" ht="30" hidden="1" outlineLevel="1">
      <c r="A4080" s="2">
        <v>9</v>
      </c>
      <c r="B4080" s="2">
        <v>11</v>
      </c>
      <c r="C4080" s="2">
        <f>C4078+1</f>
        <v>28</v>
      </c>
      <c r="E4080" s="20" t="str">
        <f>CONCATENATE(A4080,".",B4080,".",C4080)</f>
        <v>9.11.28</v>
      </c>
      <c r="F4080" s="21" t="s">
        <v>4796</v>
      </c>
      <c r="G4080" s="65">
        <v>91863</v>
      </c>
      <c r="H4080" s="23" t="s">
        <v>2426</v>
      </c>
      <c r="I4080" s="24" t="s">
        <v>144</v>
      </c>
      <c r="J4080" s="32"/>
      <c r="K4080" s="10"/>
      <c r="L4080" s="32"/>
      <c r="M4080" s="10"/>
      <c r="N4080" s="33"/>
      <c r="O4080" s="11">
        <f>SUM(O4081)</f>
        <v>31.5</v>
      </c>
      <c r="P4080" s="185"/>
    </row>
    <row r="4081" spans="1:16" hidden="1" outlineLevel="2">
      <c r="E4081" s="59"/>
      <c r="F4081" s="60"/>
      <c r="G4081" s="34"/>
      <c r="H4081" s="30"/>
      <c r="I4081" s="35"/>
      <c r="J4081" s="41"/>
      <c r="K4081" s="10"/>
      <c r="L4081" s="32"/>
      <c r="M4081" s="10"/>
      <c r="N4081" s="33">
        <v>31.5</v>
      </c>
      <c r="O4081" s="31">
        <f>ROUND(PRODUCT(J4081:N4081),2)</f>
        <v>31.5</v>
      </c>
      <c r="P4081" s="185"/>
    </row>
    <row r="4082" spans="1:16" ht="30" hidden="1" outlineLevel="1">
      <c r="A4082" s="2">
        <v>9</v>
      </c>
      <c r="B4082" s="2">
        <v>11</v>
      </c>
      <c r="C4082" s="2">
        <f>C4080+1</f>
        <v>29</v>
      </c>
      <c r="E4082" s="20" t="str">
        <f>CONCATENATE(A4082,".",B4082,".",C4082)</f>
        <v>9.11.29</v>
      </c>
      <c r="F4082" s="21" t="s">
        <v>4797</v>
      </c>
      <c r="G4082" s="65">
        <v>101538</v>
      </c>
      <c r="H4082" s="23" t="s">
        <v>4798</v>
      </c>
      <c r="I4082" s="24" t="s">
        <v>36</v>
      </c>
      <c r="J4082" s="32"/>
      <c r="K4082" s="10"/>
      <c r="L4082" s="32"/>
      <c r="M4082" s="10"/>
      <c r="N4082" s="33"/>
      <c r="O4082" s="11">
        <f>SUM(O4083)</f>
        <v>1</v>
      </c>
      <c r="P4082" s="185"/>
    </row>
    <row r="4083" spans="1:16" hidden="1" outlineLevel="2">
      <c r="E4083" s="59"/>
      <c r="F4083" s="60"/>
      <c r="G4083" s="34"/>
      <c r="H4083" s="30"/>
      <c r="I4083" s="35"/>
      <c r="J4083" s="41"/>
      <c r="K4083" s="10"/>
      <c r="L4083" s="32"/>
      <c r="M4083" s="10"/>
      <c r="N4083" s="33">
        <v>1</v>
      </c>
      <c r="O4083" s="31">
        <f>ROUND(PRODUCT(J4083:N4083),2)</f>
        <v>1</v>
      </c>
      <c r="P4083" s="185"/>
    </row>
    <row r="4084" spans="1:16" ht="45" hidden="1" outlineLevel="1">
      <c r="A4084" s="2">
        <v>9</v>
      </c>
      <c r="B4084" s="2">
        <v>11</v>
      </c>
      <c r="C4084" s="2">
        <f>C4082+1</f>
        <v>30</v>
      </c>
      <c r="E4084" s="20" t="str">
        <f>CONCATENATE(A4084,".",B4084,".",C4084)</f>
        <v>9.11.30</v>
      </c>
      <c r="F4084" s="21" t="s">
        <v>4799</v>
      </c>
      <c r="G4084" s="65">
        <v>101561</v>
      </c>
      <c r="H4084" s="23" t="s">
        <v>3738</v>
      </c>
      <c r="I4084" s="24" t="s">
        <v>144</v>
      </c>
      <c r="J4084" s="32"/>
      <c r="K4084" s="10"/>
      <c r="L4084" s="32"/>
      <c r="M4084" s="10"/>
      <c r="N4084" s="33"/>
      <c r="O4084" s="11">
        <f>SUM(O4085)</f>
        <v>1</v>
      </c>
      <c r="P4084" s="185"/>
    </row>
    <row r="4085" spans="1:16" hidden="1" outlineLevel="2">
      <c r="E4085" s="59"/>
      <c r="F4085" s="60"/>
      <c r="G4085" s="34"/>
      <c r="H4085" s="30"/>
      <c r="I4085" s="35"/>
      <c r="J4085" s="41"/>
      <c r="K4085" s="10"/>
      <c r="L4085" s="32"/>
      <c r="M4085" s="10"/>
      <c r="N4085" s="33">
        <v>1</v>
      </c>
      <c r="O4085" s="31">
        <f>ROUND(PRODUCT(J4085:N4085),2)</f>
        <v>1</v>
      </c>
      <c r="P4085" s="185"/>
    </row>
    <row r="4086" spans="1:16" ht="30" hidden="1" outlineLevel="1">
      <c r="A4086" s="2">
        <v>9</v>
      </c>
      <c r="B4086" s="2">
        <v>11</v>
      </c>
      <c r="C4086" s="2">
        <f>C4084+1</f>
        <v>31</v>
      </c>
      <c r="E4086" s="20" t="str">
        <f>CONCATENATE(A4086,".",B4086,".",C4086)</f>
        <v>9.11.31</v>
      </c>
      <c r="F4086" s="21" t="s">
        <v>4800</v>
      </c>
      <c r="G4086" s="65">
        <v>101548</v>
      </c>
      <c r="H4086" s="23" t="s">
        <v>3791</v>
      </c>
      <c r="I4086" s="24" t="s">
        <v>36</v>
      </c>
      <c r="J4086" s="32"/>
      <c r="K4086" s="10"/>
      <c r="L4086" s="32"/>
      <c r="M4086" s="10"/>
      <c r="N4086" s="33"/>
      <c r="O4086" s="11">
        <f>SUM(O4087)</f>
        <v>1</v>
      </c>
      <c r="P4086" s="185"/>
    </row>
    <row r="4087" spans="1:16" hidden="1" outlineLevel="2">
      <c r="E4087" s="59"/>
      <c r="F4087" s="60"/>
      <c r="G4087" s="34"/>
      <c r="H4087" s="30"/>
      <c r="I4087" s="35"/>
      <c r="J4087" s="41"/>
      <c r="K4087" s="10"/>
      <c r="L4087" s="32"/>
      <c r="M4087" s="10"/>
      <c r="N4087" s="33">
        <v>1</v>
      </c>
      <c r="O4087" s="31">
        <f>ROUND(PRODUCT(J4087:N4087),2)</f>
        <v>1</v>
      </c>
      <c r="P4087" s="185"/>
    </row>
    <row r="4088" spans="1:16" ht="45" hidden="1" outlineLevel="1">
      <c r="A4088" s="2">
        <v>9</v>
      </c>
      <c r="B4088" s="2">
        <v>11</v>
      </c>
      <c r="C4088" s="2">
        <f>C4086+1</f>
        <v>32</v>
      </c>
      <c r="E4088" s="20" t="str">
        <f>CONCATENATE(A4088,".",B4088,".",C4088)</f>
        <v>9.11.32</v>
      </c>
      <c r="F4088" s="21" t="s">
        <v>4801</v>
      </c>
      <c r="G4088" s="65">
        <v>101881</v>
      </c>
      <c r="H4088" s="23" t="s">
        <v>3219</v>
      </c>
      <c r="I4088" s="24" t="s">
        <v>36</v>
      </c>
      <c r="J4088" s="32"/>
      <c r="K4088" s="10"/>
      <c r="L4088" s="32"/>
      <c r="M4088" s="10"/>
      <c r="N4088" s="33"/>
      <c r="O4088" s="11">
        <f>SUM(O4089)</f>
        <v>1</v>
      </c>
      <c r="P4088" s="185"/>
    </row>
    <row r="4089" spans="1:16" hidden="1" outlineLevel="2">
      <c r="E4089" s="59"/>
      <c r="F4089" s="60"/>
      <c r="G4089" s="34"/>
      <c r="H4089" s="30"/>
      <c r="I4089" s="35"/>
      <c r="J4089" s="41"/>
      <c r="K4089" s="10"/>
      <c r="L4089" s="32"/>
      <c r="M4089" s="10"/>
      <c r="N4089" s="33">
        <v>1</v>
      </c>
      <c r="O4089" s="31">
        <f>ROUND(PRODUCT(J4089:N4089),2)</f>
        <v>1</v>
      </c>
      <c r="P4089" s="185"/>
    </row>
    <row r="4090" spans="1:16" ht="30" hidden="1" outlineLevel="1">
      <c r="A4090" s="2">
        <v>9</v>
      </c>
      <c r="B4090" s="2">
        <v>11</v>
      </c>
      <c r="C4090" s="2">
        <f>C4088+1</f>
        <v>33</v>
      </c>
      <c r="E4090" s="20" t="str">
        <f>CONCATENATE(A4090,".",B4090,".",C4090)</f>
        <v>9.11.33</v>
      </c>
      <c r="F4090" s="21" t="s">
        <v>4802</v>
      </c>
      <c r="G4090" s="65">
        <v>91875</v>
      </c>
      <c r="H4090" s="23" t="s">
        <v>555</v>
      </c>
      <c r="I4090" s="24" t="s">
        <v>36</v>
      </c>
      <c r="J4090" s="32"/>
      <c r="K4090" s="10"/>
      <c r="L4090" s="32"/>
      <c r="M4090" s="10"/>
      <c r="N4090" s="33"/>
      <c r="O4090" s="11">
        <f>SUM(O4091)</f>
        <v>34</v>
      </c>
      <c r="P4090" s="185"/>
    </row>
    <row r="4091" spans="1:16" hidden="1" outlineLevel="2">
      <c r="E4091" s="59"/>
      <c r="F4091" s="60"/>
      <c r="G4091" s="34"/>
      <c r="H4091" s="30"/>
      <c r="I4091" s="35"/>
      <c r="J4091" s="41"/>
      <c r="K4091" s="10"/>
      <c r="L4091" s="32"/>
      <c r="M4091" s="10"/>
      <c r="N4091" s="33">
        <v>34</v>
      </c>
      <c r="O4091" s="31">
        <f>ROUND(PRODUCT(J4091:N4091),2)</f>
        <v>34</v>
      </c>
      <c r="P4091" s="185"/>
    </row>
    <row r="4092" spans="1:16" hidden="1" outlineLevel="1">
      <c r="A4092" s="2">
        <v>9</v>
      </c>
      <c r="B4092" s="2">
        <v>11</v>
      </c>
      <c r="C4092" s="2">
        <f>C4090+1</f>
        <v>34</v>
      </c>
      <c r="E4092" s="20" t="str">
        <f>CONCATENATE(A4092,".",B4092,".",C4092)</f>
        <v>9.11.34</v>
      </c>
      <c r="F4092" s="21" t="s">
        <v>4803</v>
      </c>
      <c r="G4092" s="22" t="s">
        <v>4804</v>
      </c>
      <c r="H4092" s="23" t="s">
        <v>4805</v>
      </c>
      <c r="I4092" s="24" t="s">
        <v>36</v>
      </c>
      <c r="J4092" s="32"/>
      <c r="K4092" s="10"/>
      <c r="L4092" s="32"/>
      <c r="M4092" s="10"/>
      <c r="N4092" s="33"/>
      <c r="O4092" s="11">
        <f>SUM(O4093)</f>
        <v>1</v>
      </c>
      <c r="P4092" s="185"/>
    </row>
    <row r="4093" spans="1:16" hidden="1" outlineLevel="2">
      <c r="E4093" s="59"/>
      <c r="F4093" s="60"/>
      <c r="G4093" s="34"/>
      <c r="H4093" s="30"/>
      <c r="I4093" s="35"/>
      <c r="J4093" s="41"/>
      <c r="K4093" s="10"/>
      <c r="L4093" s="32"/>
      <c r="M4093" s="10"/>
      <c r="N4093" s="33">
        <v>1</v>
      </c>
      <c r="O4093" s="31">
        <f>ROUND(PRODUCT(J4093:N4093),2)</f>
        <v>1</v>
      </c>
      <c r="P4093" s="185"/>
    </row>
    <row r="4094" spans="1:16" hidden="1" outlineLevel="1">
      <c r="A4094" s="2">
        <v>9</v>
      </c>
      <c r="B4094" s="2">
        <v>11</v>
      </c>
      <c r="C4094" s="2">
        <f>C4092+1</f>
        <v>35</v>
      </c>
      <c r="E4094" s="20" t="str">
        <f>CONCATENATE(A4094,".",B4094,".",C4094)</f>
        <v>9.11.35</v>
      </c>
      <c r="F4094" s="21" t="s">
        <v>4806</v>
      </c>
      <c r="G4094" s="22" t="s">
        <v>3993</v>
      </c>
      <c r="H4094" s="23" t="s">
        <v>3994</v>
      </c>
      <c r="I4094" s="24" t="s">
        <v>36</v>
      </c>
      <c r="J4094" s="32"/>
      <c r="K4094" s="10"/>
      <c r="L4094" s="32"/>
      <c r="M4094" s="10"/>
      <c r="N4094" s="33"/>
      <c r="O4094" s="11">
        <f>SUM(O4095)</f>
        <v>89</v>
      </c>
      <c r="P4094" s="185"/>
    </row>
    <row r="4095" spans="1:16" hidden="1" outlineLevel="2">
      <c r="E4095" s="59"/>
      <c r="F4095" s="60"/>
      <c r="G4095" s="34"/>
      <c r="H4095" s="30"/>
      <c r="I4095" s="35"/>
      <c r="J4095" s="41"/>
      <c r="K4095" s="10"/>
      <c r="L4095" s="32"/>
      <c r="M4095" s="10"/>
      <c r="N4095" s="33">
        <f>55+34</f>
        <v>89</v>
      </c>
      <c r="O4095" s="31">
        <f>ROUND(PRODUCT(J4095:N4095),2)</f>
        <v>89</v>
      </c>
      <c r="P4095" s="185"/>
    </row>
    <row r="4096" spans="1:16" hidden="1" outlineLevel="1">
      <c r="A4096" s="2">
        <v>9</v>
      </c>
      <c r="B4096" s="2">
        <v>11</v>
      </c>
      <c r="C4096" s="2">
        <f>C4094+1</f>
        <v>36</v>
      </c>
      <c r="E4096" s="20" t="str">
        <f>CONCATENATE(A4096,".",B4096,".",C4096)</f>
        <v>9.11.36</v>
      </c>
      <c r="F4096" s="21" t="s">
        <v>4807</v>
      </c>
      <c r="G4096" s="22" t="s">
        <v>4808</v>
      </c>
      <c r="H4096" s="23" t="s">
        <v>4809</v>
      </c>
      <c r="I4096" s="24" t="s">
        <v>36</v>
      </c>
      <c r="J4096" s="32"/>
      <c r="K4096" s="10"/>
      <c r="L4096" s="32"/>
      <c r="M4096" s="10"/>
      <c r="N4096" s="33"/>
      <c r="O4096" s="11">
        <f>SUM(O4097)</f>
        <v>34</v>
      </c>
      <c r="P4096" s="185"/>
    </row>
    <row r="4097" spans="1:16" hidden="1" outlineLevel="2">
      <c r="E4097" s="59"/>
      <c r="F4097" s="60"/>
      <c r="G4097" s="34"/>
      <c r="H4097" s="30"/>
      <c r="I4097" s="35"/>
      <c r="J4097" s="41"/>
      <c r="K4097" s="10"/>
      <c r="L4097" s="32"/>
      <c r="M4097" s="10"/>
      <c r="N4097" s="33">
        <v>34</v>
      </c>
      <c r="O4097" s="31">
        <f>ROUND(PRODUCT(J4097:N4097),2)</f>
        <v>34</v>
      </c>
      <c r="P4097" s="185"/>
    </row>
    <row r="4098" spans="1:16" hidden="1" outlineLevel="1">
      <c r="A4098" s="2">
        <v>9</v>
      </c>
      <c r="B4098" s="2">
        <v>11</v>
      </c>
      <c r="C4098" s="2">
        <f>C4096+1</f>
        <v>37</v>
      </c>
      <c r="E4098" s="20" t="str">
        <f>CONCATENATE(A4098,".",B4098,".",C4098)</f>
        <v>9.11.37</v>
      </c>
      <c r="F4098" s="21" t="s">
        <v>4810</v>
      </c>
      <c r="G4098" s="22" t="s">
        <v>3996</v>
      </c>
      <c r="H4098" s="23" t="s">
        <v>3997</v>
      </c>
      <c r="I4098" s="24" t="s">
        <v>36</v>
      </c>
      <c r="J4098" s="32"/>
      <c r="K4098" s="10"/>
      <c r="L4098" s="32"/>
      <c r="M4098" s="10"/>
      <c r="N4098" s="33"/>
      <c r="O4098" s="11">
        <f>SUM(O4099)</f>
        <v>55</v>
      </c>
      <c r="P4098" s="185"/>
    </row>
    <row r="4099" spans="1:16" hidden="1" outlineLevel="2">
      <c r="E4099" s="59"/>
      <c r="F4099" s="60"/>
      <c r="G4099" s="34"/>
      <c r="H4099" s="30"/>
      <c r="I4099" s="35"/>
      <c r="J4099" s="41"/>
      <c r="K4099" s="10"/>
      <c r="L4099" s="32"/>
      <c r="M4099" s="10"/>
      <c r="N4099" s="33">
        <v>55</v>
      </c>
      <c r="O4099" s="31">
        <f>ROUND(PRODUCT(J4099:N4099),2)</f>
        <v>55</v>
      </c>
      <c r="P4099" s="185"/>
    </row>
    <row r="4100" spans="1:16" hidden="1" outlineLevel="1">
      <c r="A4100" s="2">
        <v>9</v>
      </c>
      <c r="B4100" s="2">
        <v>11</v>
      </c>
      <c r="C4100" s="2">
        <f>C4098+1</f>
        <v>38</v>
      </c>
      <c r="E4100" s="20" t="str">
        <f>CONCATENATE(A4100,".",B4100,".",C4100)</f>
        <v>9.11.38</v>
      </c>
      <c r="F4100" s="21" t="s">
        <v>4811</v>
      </c>
      <c r="G4100" s="22" t="s">
        <v>4812</v>
      </c>
      <c r="H4100" s="23" t="s">
        <v>4813</v>
      </c>
      <c r="I4100" s="24" t="s">
        <v>36</v>
      </c>
      <c r="J4100" s="32"/>
      <c r="K4100" s="10"/>
      <c r="L4100" s="32"/>
      <c r="M4100" s="10"/>
      <c r="N4100" s="33"/>
      <c r="O4100" s="11">
        <f>SUM(O4101)</f>
        <v>12</v>
      </c>
      <c r="P4100" s="185"/>
    </row>
    <row r="4101" spans="1:16" hidden="1" outlineLevel="2">
      <c r="E4101" s="59"/>
      <c r="F4101" s="60"/>
      <c r="G4101" s="34"/>
      <c r="H4101" s="30"/>
      <c r="I4101" s="35"/>
      <c r="J4101" s="41"/>
      <c r="K4101" s="10"/>
      <c r="L4101" s="32"/>
      <c r="M4101" s="10"/>
      <c r="N4101" s="33">
        <v>12</v>
      </c>
      <c r="O4101" s="31">
        <f>ROUND(PRODUCT(J4101:N4101),2)</f>
        <v>12</v>
      </c>
      <c r="P4101" s="185"/>
    </row>
    <row r="4102" spans="1:16" hidden="1" outlineLevel="1">
      <c r="A4102" s="2">
        <v>9</v>
      </c>
      <c r="B4102" s="2">
        <v>11</v>
      </c>
      <c r="C4102" s="2">
        <f>C4100+1</f>
        <v>39</v>
      </c>
      <c r="E4102" s="20" t="str">
        <f>CONCATENATE(A4102,".",B4102,".",C4102)</f>
        <v>9.11.39</v>
      </c>
      <c r="F4102" s="21" t="s">
        <v>4814</v>
      </c>
      <c r="G4102" s="22" t="s">
        <v>4815</v>
      </c>
      <c r="H4102" s="23" t="s">
        <v>4816</v>
      </c>
      <c r="I4102" s="24" t="s">
        <v>36</v>
      </c>
      <c r="J4102" s="32"/>
      <c r="K4102" s="10"/>
      <c r="L4102" s="32"/>
      <c r="M4102" s="10"/>
      <c r="N4102" s="33"/>
      <c r="O4102" s="11">
        <f>SUM(O4103)</f>
        <v>12</v>
      </c>
      <c r="P4102" s="185"/>
    </row>
    <row r="4103" spans="1:16" hidden="1" outlineLevel="2">
      <c r="E4103" s="59"/>
      <c r="F4103" s="60"/>
      <c r="G4103" s="34"/>
      <c r="H4103" s="30"/>
      <c r="I4103" s="35"/>
      <c r="J4103" s="41"/>
      <c r="K4103" s="10"/>
      <c r="L4103" s="32"/>
      <c r="M4103" s="10"/>
      <c r="N4103" s="33">
        <v>12</v>
      </c>
      <c r="O4103" s="31">
        <f>ROUND(PRODUCT(J4103:N4103),2)</f>
        <v>12</v>
      </c>
      <c r="P4103" s="185"/>
    </row>
    <row r="4104" spans="1:16" hidden="1" outlineLevel="1">
      <c r="A4104" s="2">
        <v>9</v>
      </c>
      <c r="B4104" s="2">
        <v>11</v>
      </c>
      <c r="C4104" s="2">
        <f>C4102+1</f>
        <v>40</v>
      </c>
      <c r="E4104" s="20" t="str">
        <f>CONCATENATE(A4104,".",B4104,".",C4104)</f>
        <v>9.11.40</v>
      </c>
      <c r="F4104" s="21" t="s">
        <v>4817</v>
      </c>
      <c r="G4104" s="22" t="s">
        <v>3821</v>
      </c>
      <c r="H4104" s="23" t="s">
        <v>3449</v>
      </c>
      <c r="I4104" s="24" t="s">
        <v>36</v>
      </c>
      <c r="J4104" s="32"/>
      <c r="K4104" s="10"/>
      <c r="L4104" s="32"/>
      <c r="M4104" s="10"/>
      <c r="N4104" s="33"/>
      <c r="O4104" s="11">
        <f>SUM(O4105)</f>
        <v>1</v>
      </c>
      <c r="P4104" s="185"/>
    </row>
    <row r="4105" spans="1:16" hidden="1" outlineLevel="2">
      <c r="E4105" s="59"/>
      <c r="F4105" s="60"/>
      <c r="G4105" s="34"/>
      <c r="H4105" s="30"/>
      <c r="I4105" s="35"/>
      <c r="J4105" s="41"/>
      <c r="K4105" s="10"/>
      <c r="L4105" s="32"/>
      <c r="M4105" s="10"/>
      <c r="N4105" s="33">
        <v>1</v>
      </c>
      <c r="O4105" s="31">
        <f>ROUND(PRODUCT(J4105:N4105),2)</f>
        <v>1</v>
      </c>
      <c r="P4105" s="185"/>
    </row>
    <row r="4106" spans="1:16" hidden="1" outlineLevel="1">
      <c r="A4106" s="2">
        <v>9</v>
      </c>
      <c r="B4106" s="2">
        <v>11</v>
      </c>
      <c r="C4106" s="2">
        <f>C4104+1</f>
        <v>41</v>
      </c>
      <c r="E4106" s="20" t="str">
        <f>CONCATENATE(A4106,".",B4106,".",C4106)</f>
        <v>9.11.41</v>
      </c>
      <c r="F4106" s="21" t="s">
        <v>4818</v>
      </c>
      <c r="G4106" s="22" t="s">
        <v>3823</v>
      </c>
      <c r="H4106" s="23" t="s">
        <v>3824</v>
      </c>
      <c r="I4106" s="24" t="s">
        <v>36</v>
      </c>
      <c r="J4106" s="32"/>
      <c r="K4106" s="10"/>
      <c r="L4106" s="32"/>
      <c r="M4106" s="10"/>
      <c r="N4106" s="33"/>
      <c r="O4106" s="11">
        <f>SUM(O4107)</f>
        <v>1</v>
      </c>
      <c r="P4106" s="185"/>
    </row>
    <row r="4107" spans="1:16" hidden="1" outlineLevel="2">
      <c r="E4107" s="59"/>
      <c r="F4107" s="60"/>
      <c r="G4107" s="34"/>
      <c r="H4107" s="30"/>
      <c r="I4107" s="35"/>
      <c r="J4107" s="41"/>
      <c r="K4107" s="10"/>
      <c r="L4107" s="32"/>
      <c r="M4107" s="10"/>
      <c r="N4107" s="33">
        <v>1</v>
      </c>
      <c r="O4107" s="31">
        <f>ROUND(PRODUCT(J4107:N4107),2)</f>
        <v>1</v>
      </c>
      <c r="P4107" s="185"/>
    </row>
    <row r="4108" spans="1:16" hidden="1" outlineLevel="1">
      <c r="A4108" s="2">
        <v>9</v>
      </c>
      <c r="B4108" s="2">
        <v>11</v>
      </c>
      <c r="C4108" s="2">
        <f>C4106+1</f>
        <v>42</v>
      </c>
      <c r="E4108" s="20" t="str">
        <f>CONCATENATE(A4108,".",B4108,".",C4108)</f>
        <v>9.11.42</v>
      </c>
      <c r="F4108" s="21" t="s">
        <v>4819</v>
      </c>
      <c r="G4108" s="22" t="s">
        <v>4820</v>
      </c>
      <c r="H4108" s="23" t="s">
        <v>4821</v>
      </c>
      <c r="I4108" s="24" t="s">
        <v>36</v>
      </c>
      <c r="J4108" s="32"/>
      <c r="K4108" s="10"/>
      <c r="L4108" s="32"/>
      <c r="M4108" s="10"/>
      <c r="N4108" s="33"/>
      <c r="O4108" s="11">
        <f>SUM(O4109)</f>
        <v>2</v>
      </c>
      <c r="P4108" s="185"/>
    </row>
    <row r="4109" spans="1:16" hidden="1" outlineLevel="2">
      <c r="E4109" s="59"/>
      <c r="F4109" s="60"/>
      <c r="G4109" s="34"/>
      <c r="H4109" s="30"/>
      <c r="I4109" s="35"/>
      <c r="J4109" s="41"/>
      <c r="K4109" s="10"/>
      <c r="L4109" s="32"/>
      <c r="M4109" s="10"/>
      <c r="N4109" s="33">
        <v>2</v>
      </c>
      <c r="O4109" s="31">
        <f>ROUND(PRODUCT(J4109:N4109),2)</f>
        <v>2</v>
      </c>
      <c r="P4109" s="185"/>
    </row>
    <row r="4110" spans="1:16" hidden="1" outlineLevel="1">
      <c r="A4110" s="2">
        <v>9</v>
      </c>
      <c r="B4110" s="2">
        <v>11</v>
      </c>
      <c r="C4110" s="2">
        <f>C4108+1</f>
        <v>43</v>
      </c>
      <c r="E4110" s="20" t="str">
        <f>CONCATENATE(A4110,".",B4110,".",C4110)</f>
        <v>9.11.43</v>
      </c>
      <c r="F4110" s="21" t="s">
        <v>4822</v>
      </c>
      <c r="G4110" s="22" t="s">
        <v>4823</v>
      </c>
      <c r="H4110" s="23" t="s">
        <v>640</v>
      </c>
      <c r="I4110" s="24" t="s">
        <v>36</v>
      </c>
      <c r="J4110" s="32"/>
      <c r="K4110" s="10"/>
      <c r="L4110" s="32"/>
      <c r="M4110" s="10"/>
      <c r="N4110" s="33"/>
      <c r="O4110" s="11">
        <f>SUM(O4111)</f>
        <v>7</v>
      </c>
      <c r="P4110" s="185"/>
    </row>
    <row r="4111" spans="1:16" hidden="1" outlineLevel="2">
      <c r="E4111" s="59"/>
      <c r="F4111" s="60"/>
      <c r="G4111" s="34"/>
      <c r="H4111" s="30"/>
      <c r="I4111" s="35"/>
      <c r="J4111" s="41"/>
      <c r="K4111" s="10"/>
      <c r="L4111" s="32"/>
      <c r="M4111" s="10"/>
      <c r="N4111" s="33">
        <v>7</v>
      </c>
      <c r="O4111" s="31">
        <f>ROUND(PRODUCT(J4111:N4111),2)</f>
        <v>7</v>
      </c>
      <c r="P4111" s="185"/>
    </row>
    <row r="4112" spans="1:16" hidden="1" outlineLevel="1">
      <c r="A4112" s="2">
        <v>9</v>
      </c>
      <c r="B4112" s="2">
        <v>11</v>
      </c>
      <c r="C4112" s="2">
        <f>C4110+1</f>
        <v>44</v>
      </c>
      <c r="E4112" s="20" t="str">
        <f>CONCATENATE(A4112,".",B4112,".",C4112)</f>
        <v>9.11.44</v>
      </c>
      <c r="F4112" s="21" t="s">
        <v>4824</v>
      </c>
      <c r="G4112" s="22" t="s">
        <v>4825</v>
      </c>
      <c r="H4112" s="23" t="s">
        <v>4826</v>
      </c>
      <c r="I4112" s="24" t="s">
        <v>144</v>
      </c>
      <c r="J4112" s="32"/>
      <c r="K4112" s="10"/>
      <c r="L4112" s="32"/>
      <c r="M4112" s="10"/>
      <c r="N4112" s="33"/>
      <c r="O4112" s="11">
        <f>SUM(O4113)</f>
        <v>1</v>
      </c>
      <c r="P4112" s="185"/>
    </row>
    <row r="4113" spans="1:16" hidden="1" outlineLevel="2">
      <c r="E4113" s="59"/>
      <c r="F4113" s="60"/>
      <c r="G4113" s="34"/>
      <c r="H4113" s="30"/>
      <c r="I4113" s="35"/>
      <c r="J4113" s="41"/>
      <c r="K4113" s="10"/>
      <c r="L4113" s="32"/>
      <c r="M4113" s="10"/>
      <c r="N4113" s="33">
        <v>1</v>
      </c>
      <c r="O4113" s="31">
        <f>ROUND(PRODUCT(J4113:N4113),2)</f>
        <v>1</v>
      </c>
      <c r="P4113" s="185"/>
    </row>
    <row r="4114" spans="1:16" hidden="1" outlineLevel="1">
      <c r="A4114" s="2">
        <v>9</v>
      </c>
      <c r="B4114" s="2">
        <v>11</v>
      </c>
      <c r="C4114" s="2">
        <f>C4112+1</f>
        <v>45</v>
      </c>
      <c r="E4114" s="20" t="str">
        <f>CONCATENATE(A4114,".",B4114,".",C4114)</f>
        <v>9.11.45</v>
      </c>
      <c r="F4114" s="21" t="s">
        <v>4827</v>
      </c>
      <c r="G4114" s="22" t="s">
        <v>4828</v>
      </c>
      <c r="H4114" s="23" t="s">
        <v>4829</v>
      </c>
      <c r="I4114" s="24" t="s">
        <v>36</v>
      </c>
      <c r="J4114" s="32"/>
      <c r="K4114" s="10"/>
      <c r="L4114" s="32"/>
      <c r="M4114" s="10"/>
      <c r="N4114" s="33"/>
      <c r="O4114" s="11">
        <f>SUM(O4115)</f>
        <v>3</v>
      </c>
      <c r="P4114" s="185"/>
    </row>
    <row r="4115" spans="1:16" hidden="1" outlineLevel="2">
      <c r="E4115" s="59"/>
      <c r="F4115" s="60"/>
      <c r="G4115" s="34"/>
      <c r="H4115" s="30"/>
      <c r="I4115" s="35"/>
      <c r="J4115" s="41"/>
      <c r="K4115" s="10"/>
      <c r="L4115" s="32"/>
      <c r="M4115" s="10"/>
      <c r="N4115" s="33">
        <v>3</v>
      </c>
      <c r="O4115" s="31">
        <f>ROUND(PRODUCT(J4115:N4115),2)</f>
        <v>3</v>
      </c>
      <c r="P4115" s="185"/>
    </row>
    <row r="4116" spans="1:16" hidden="1" outlineLevel="1">
      <c r="A4116" s="2">
        <v>9</v>
      </c>
      <c r="B4116" s="2">
        <v>11</v>
      </c>
      <c r="C4116" s="2">
        <f>C4114+1</f>
        <v>46</v>
      </c>
      <c r="E4116" s="20" t="str">
        <f>CONCATENATE(A4116,".",B4116,".",C4116)</f>
        <v>9.11.46</v>
      </c>
      <c r="F4116" s="21" t="s">
        <v>4830</v>
      </c>
      <c r="G4116" s="22" t="s">
        <v>4831</v>
      </c>
      <c r="H4116" s="23" t="s">
        <v>4832</v>
      </c>
      <c r="I4116" s="24" t="s">
        <v>36</v>
      </c>
      <c r="J4116" s="32"/>
      <c r="K4116" s="10"/>
      <c r="L4116" s="32"/>
      <c r="M4116" s="10"/>
      <c r="N4116" s="33"/>
      <c r="O4116" s="11">
        <f>SUM(O4117)</f>
        <v>2</v>
      </c>
      <c r="P4116" s="185"/>
    </row>
    <row r="4117" spans="1:16" hidden="1" outlineLevel="2">
      <c r="E4117" s="59"/>
      <c r="F4117" s="60"/>
      <c r="G4117" s="34"/>
      <c r="H4117" s="30"/>
      <c r="I4117" s="35"/>
      <c r="J4117" s="41"/>
      <c r="K4117" s="10"/>
      <c r="L4117" s="32"/>
      <c r="M4117" s="10"/>
      <c r="N4117" s="33">
        <v>2</v>
      </c>
      <c r="O4117" s="31">
        <f>ROUND(PRODUCT(J4117:N4117),2)</f>
        <v>2</v>
      </c>
      <c r="P4117" s="185"/>
    </row>
    <row r="4118" spans="1:16" hidden="1" outlineLevel="1">
      <c r="A4118" s="2">
        <v>9</v>
      </c>
      <c r="B4118" s="2">
        <v>11</v>
      </c>
      <c r="C4118" s="2">
        <f>C4116+1</f>
        <v>47</v>
      </c>
      <c r="E4118" s="20" t="str">
        <f>CONCATENATE(A4118,".",B4118,".",C4118)</f>
        <v>9.11.47</v>
      </c>
      <c r="F4118" s="21" t="s">
        <v>4833</v>
      </c>
      <c r="G4118" s="22" t="s">
        <v>4834</v>
      </c>
      <c r="H4118" s="23" t="s">
        <v>4835</v>
      </c>
      <c r="I4118" s="24" t="s">
        <v>36</v>
      </c>
      <c r="J4118" s="32"/>
      <c r="K4118" s="10"/>
      <c r="L4118" s="32"/>
      <c r="M4118" s="10"/>
      <c r="N4118" s="33"/>
      <c r="O4118" s="11">
        <f>SUM(O4119)</f>
        <v>2</v>
      </c>
      <c r="P4118" s="185"/>
    </row>
    <row r="4119" spans="1:16" hidden="1" outlineLevel="2">
      <c r="E4119" s="59"/>
      <c r="F4119" s="60"/>
      <c r="G4119" s="34"/>
      <c r="H4119" s="30"/>
      <c r="I4119" s="35"/>
      <c r="J4119" s="41"/>
      <c r="K4119" s="10"/>
      <c r="L4119" s="32"/>
      <c r="M4119" s="10"/>
      <c r="N4119" s="33">
        <v>2</v>
      </c>
      <c r="O4119" s="31">
        <f>ROUND(PRODUCT(J4119:N4119),2)</f>
        <v>2</v>
      </c>
      <c r="P4119" s="185"/>
    </row>
    <row r="4120" spans="1:16" ht="45" hidden="1" outlineLevel="1">
      <c r="A4120" s="2">
        <v>9</v>
      </c>
      <c r="B4120" s="2">
        <v>11</v>
      </c>
      <c r="C4120" s="2">
        <f>C4118+1</f>
        <v>48</v>
      </c>
      <c r="E4120" s="20" t="str">
        <f>CONCATENATE(A4120,".",B4120,".",C4120)</f>
        <v>9.11.48</v>
      </c>
      <c r="F4120" s="21" t="s">
        <v>4836</v>
      </c>
      <c r="G4120" s="22">
        <v>91898</v>
      </c>
      <c r="H4120" s="23" t="s">
        <v>4837</v>
      </c>
      <c r="I4120" s="24" t="s">
        <v>36</v>
      </c>
      <c r="J4120" s="32"/>
      <c r="K4120" s="10"/>
      <c r="L4120" s="32"/>
      <c r="M4120" s="10"/>
      <c r="N4120" s="33"/>
      <c r="O4120" s="11">
        <f>SUM(O4121)</f>
        <v>1</v>
      </c>
      <c r="P4120" s="185"/>
    </row>
    <row r="4121" spans="1:16" hidden="1" outlineLevel="2">
      <c r="E4121" s="59"/>
      <c r="F4121" s="60"/>
      <c r="G4121" s="34"/>
      <c r="H4121" s="30"/>
      <c r="I4121" s="35"/>
      <c r="J4121" s="41"/>
      <c r="K4121" s="10"/>
      <c r="L4121" s="32"/>
      <c r="M4121" s="10"/>
      <c r="N4121" s="33">
        <v>1</v>
      </c>
      <c r="O4121" s="31">
        <f>ROUND(PRODUCT(J4121:N4121),2)</f>
        <v>1</v>
      </c>
      <c r="P4121" s="185"/>
    </row>
    <row r="4122" spans="1:16" hidden="1" outlineLevel="1">
      <c r="A4122" s="2">
        <v>9</v>
      </c>
      <c r="B4122" s="2">
        <v>11</v>
      </c>
      <c r="C4122" s="2">
        <f>C4120+1</f>
        <v>49</v>
      </c>
      <c r="E4122" s="20" t="str">
        <f>CONCATENATE(A4122,".",B4122,".",C4122)</f>
        <v>9.11.49</v>
      </c>
      <c r="F4122" s="21" t="s">
        <v>4838</v>
      </c>
      <c r="G4122" s="22" t="s">
        <v>4839</v>
      </c>
      <c r="H4122" s="23" t="s">
        <v>4840</v>
      </c>
      <c r="I4122" s="24" t="s">
        <v>36</v>
      </c>
      <c r="J4122" s="32"/>
      <c r="K4122" s="10"/>
      <c r="L4122" s="32"/>
      <c r="M4122" s="10"/>
      <c r="N4122" s="33"/>
      <c r="O4122" s="11">
        <f>SUM(O4123)</f>
        <v>1</v>
      </c>
      <c r="P4122" s="185"/>
    </row>
    <row r="4123" spans="1:16" hidden="1" outlineLevel="2">
      <c r="E4123" s="59"/>
      <c r="F4123" s="60"/>
      <c r="G4123" s="34"/>
      <c r="H4123" s="30"/>
      <c r="I4123" s="35"/>
      <c r="J4123" s="41"/>
      <c r="K4123" s="10"/>
      <c r="L4123" s="32"/>
      <c r="M4123" s="10"/>
      <c r="N4123" s="33">
        <v>1</v>
      </c>
      <c r="O4123" s="31">
        <f>ROUND(PRODUCT(J4123:N4123),2)</f>
        <v>1</v>
      </c>
      <c r="P4123" s="185"/>
    </row>
    <row r="4124" spans="1:16" hidden="1" outlineLevel="1">
      <c r="A4124" s="2">
        <v>9</v>
      </c>
      <c r="B4124" s="2">
        <v>11</v>
      </c>
      <c r="C4124" s="2">
        <f>C4122+1</f>
        <v>50</v>
      </c>
      <c r="E4124" s="20" t="str">
        <f>CONCATENATE(A4124,".",B4124,".",C4124)</f>
        <v>9.11.50</v>
      </c>
      <c r="F4124" s="21" t="s">
        <v>4841</v>
      </c>
      <c r="G4124" s="22" t="s">
        <v>4842</v>
      </c>
      <c r="H4124" s="23" t="s">
        <v>4843</v>
      </c>
      <c r="I4124" s="24" t="s">
        <v>36</v>
      </c>
      <c r="J4124" s="32"/>
      <c r="K4124" s="10"/>
      <c r="L4124" s="32"/>
      <c r="M4124" s="10"/>
      <c r="N4124" s="33"/>
      <c r="O4124" s="11">
        <f>SUM(O4125)</f>
        <v>2</v>
      </c>
      <c r="P4124" s="185"/>
    </row>
    <row r="4125" spans="1:16" hidden="1" outlineLevel="2">
      <c r="E4125" s="59"/>
      <c r="F4125" s="60"/>
      <c r="G4125" s="34"/>
      <c r="H4125" s="30"/>
      <c r="I4125" s="35"/>
      <c r="J4125" s="41"/>
      <c r="K4125" s="10"/>
      <c r="L4125" s="32"/>
      <c r="M4125" s="10"/>
      <c r="N4125" s="33">
        <v>2</v>
      </c>
      <c r="O4125" s="31">
        <f>ROUND(PRODUCT(J4125:N4125),2)</f>
        <v>2</v>
      </c>
      <c r="P4125" s="185"/>
    </row>
    <row r="4126" spans="1:16" hidden="1" outlineLevel="1">
      <c r="A4126" s="2">
        <v>9</v>
      </c>
      <c r="B4126" s="2">
        <v>11</v>
      </c>
      <c r="C4126" s="2">
        <f>C4124+1</f>
        <v>51</v>
      </c>
      <c r="E4126" s="20" t="str">
        <f>CONCATENATE(A4126,".",B4126,".",C4126)</f>
        <v>9.11.51</v>
      </c>
      <c r="F4126" s="21" t="s">
        <v>4844</v>
      </c>
      <c r="G4126" s="22" t="s">
        <v>4845</v>
      </c>
      <c r="H4126" s="23" t="s">
        <v>4846</v>
      </c>
      <c r="I4126" s="24" t="s">
        <v>36</v>
      </c>
      <c r="J4126" s="32"/>
      <c r="K4126" s="10"/>
      <c r="L4126" s="32"/>
      <c r="M4126" s="10"/>
      <c r="N4126" s="33"/>
      <c r="O4126" s="11">
        <f>SUM(O4127)</f>
        <v>1</v>
      </c>
      <c r="P4126" s="185"/>
    </row>
    <row r="4127" spans="1:16" hidden="1" outlineLevel="2">
      <c r="E4127" s="59"/>
      <c r="F4127" s="60"/>
      <c r="G4127" s="34"/>
      <c r="H4127" s="30"/>
      <c r="I4127" s="35"/>
      <c r="J4127" s="41"/>
      <c r="K4127" s="10"/>
      <c r="L4127" s="32"/>
      <c r="M4127" s="10"/>
      <c r="N4127" s="33">
        <v>1</v>
      </c>
      <c r="O4127" s="31">
        <f>ROUND(PRODUCT(J4127:N4127),2)</f>
        <v>1</v>
      </c>
      <c r="P4127" s="185"/>
    </row>
    <row r="4128" spans="1:16" ht="30" hidden="1" outlineLevel="1">
      <c r="A4128" s="2">
        <v>9</v>
      </c>
      <c r="B4128" s="2">
        <v>11</v>
      </c>
      <c r="C4128" s="2">
        <f>C4126+1</f>
        <v>52</v>
      </c>
      <c r="E4128" s="20" t="str">
        <f>CONCATENATE(A4128,".",B4128,".",C4128)</f>
        <v>9.11.52</v>
      </c>
      <c r="F4128" s="21" t="s">
        <v>4847</v>
      </c>
      <c r="G4128" s="22">
        <v>91928</v>
      </c>
      <c r="H4128" s="23" t="s">
        <v>2397</v>
      </c>
      <c r="I4128" s="24" t="s">
        <v>144</v>
      </c>
      <c r="J4128" s="32"/>
      <c r="K4128" s="10"/>
      <c r="L4128" s="32"/>
      <c r="M4128" s="10"/>
      <c r="N4128" s="33"/>
      <c r="O4128" s="11">
        <f>SUM(O4129)</f>
        <v>35.340000000000003</v>
      </c>
      <c r="P4128" s="185"/>
    </row>
    <row r="4129" spans="1:17" hidden="1" outlineLevel="2">
      <c r="E4129" s="59"/>
      <c r="F4129" s="60"/>
      <c r="G4129" s="34"/>
      <c r="H4129" s="30"/>
      <c r="I4129" s="35"/>
      <c r="J4129" s="41"/>
      <c r="K4129" s="10"/>
      <c r="L4129" s="32"/>
      <c r="M4129" s="10"/>
      <c r="N4129" s="33">
        <f>3*11.78</f>
        <v>35.339999999999996</v>
      </c>
      <c r="O4129" s="31">
        <f>ROUND(PRODUCT(J4129:N4129),2)</f>
        <v>35.340000000000003</v>
      </c>
      <c r="P4129" s="185"/>
    </row>
    <row r="4130" spans="1:17" hidden="1" outlineLevel="1">
      <c r="A4130" s="2">
        <v>9</v>
      </c>
      <c r="B4130" s="2">
        <v>11</v>
      </c>
      <c r="C4130" s="2">
        <f>C4128+1</f>
        <v>53</v>
      </c>
      <c r="E4130" s="20" t="str">
        <f>CONCATENATE(A4130,".",B4130,".",C4130)</f>
        <v>9.11.53</v>
      </c>
      <c r="F4130" s="21" t="s">
        <v>4848</v>
      </c>
      <c r="G4130" s="22" t="s">
        <v>4849</v>
      </c>
      <c r="H4130" s="23" t="s">
        <v>4850</v>
      </c>
      <c r="I4130" s="24" t="s">
        <v>36</v>
      </c>
      <c r="J4130" s="32"/>
      <c r="K4130" s="10"/>
      <c r="L4130" s="32"/>
      <c r="M4130" s="10"/>
      <c r="N4130" s="33"/>
      <c r="O4130" s="11">
        <f>SUM(O4131)</f>
        <v>1</v>
      </c>
      <c r="P4130" s="185"/>
    </row>
    <row r="4131" spans="1:17" hidden="1" outlineLevel="2">
      <c r="E4131" s="59"/>
      <c r="F4131" s="60"/>
      <c r="G4131" s="34"/>
      <c r="H4131" s="30"/>
      <c r="I4131" s="35"/>
      <c r="J4131" s="41"/>
      <c r="K4131" s="10"/>
      <c r="L4131" s="32"/>
      <c r="M4131" s="10"/>
      <c r="N4131" s="33">
        <v>1</v>
      </c>
      <c r="O4131" s="31">
        <f>ROUND(PRODUCT(J4131:N4131),2)</f>
        <v>1</v>
      </c>
      <c r="P4131" s="185"/>
    </row>
    <row r="4132" spans="1:17" ht="30" hidden="1" outlineLevel="1">
      <c r="A4132" s="2">
        <v>9</v>
      </c>
      <c r="B4132" s="2">
        <v>11</v>
      </c>
      <c r="C4132" s="2">
        <f>C4130+1</f>
        <v>54</v>
      </c>
      <c r="E4132" s="20" t="str">
        <f>CONCATENATE(A4132,".",B4132,".",C4132)</f>
        <v>9.11.54</v>
      </c>
      <c r="F4132" s="21" t="s">
        <v>4851</v>
      </c>
      <c r="G4132" s="22">
        <v>91981</v>
      </c>
      <c r="H4132" s="23" t="s">
        <v>4852</v>
      </c>
      <c r="I4132" s="24" t="s">
        <v>36</v>
      </c>
      <c r="J4132" s="32"/>
      <c r="K4132" s="10"/>
      <c r="L4132" s="32"/>
      <c r="M4132" s="10"/>
      <c r="N4132" s="33"/>
      <c r="O4132" s="11">
        <f>SUM(O4133)</f>
        <v>1</v>
      </c>
      <c r="P4132" s="185"/>
    </row>
    <row r="4133" spans="1:17" hidden="1" outlineLevel="2">
      <c r="E4133" s="59"/>
      <c r="F4133" s="60"/>
      <c r="G4133" s="34"/>
      <c r="H4133" s="30"/>
      <c r="I4133" s="35"/>
      <c r="J4133" s="41"/>
      <c r="K4133" s="10"/>
      <c r="L4133" s="32"/>
      <c r="M4133" s="10"/>
      <c r="N4133" s="33">
        <v>1</v>
      </c>
      <c r="O4133" s="31">
        <f>ROUND(PRODUCT(J4133:N4133),2)</f>
        <v>1</v>
      </c>
      <c r="P4133" s="185"/>
    </row>
    <row r="4134" spans="1:17" hidden="1" outlineLevel="1">
      <c r="A4134" s="2">
        <v>9</v>
      </c>
      <c r="B4134" s="2">
        <v>11</v>
      </c>
      <c r="C4134" s="2">
        <f>C4132+1</f>
        <v>55</v>
      </c>
      <c r="E4134" s="20" t="str">
        <f>CONCATENATE(A4134,".",B4134,".",C4134)</f>
        <v>9.11.55</v>
      </c>
      <c r="F4134" s="21" t="s">
        <v>4853</v>
      </c>
      <c r="G4134" s="22" t="s">
        <v>4854</v>
      </c>
      <c r="H4134" s="23" t="s">
        <v>3857</v>
      </c>
      <c r="I4134" s="24" t="s">
        <v>36</v>
      </c>
      <c r="J4134" s="32"/>
      <c r="K4134" s="10"/>
      <c r="L4134" s="32"/>
      <c r="M4134" s="10"/>
      <c r="N4134" s="33"/>
      <c r="O4134" s="11">
        <f>SUM(O4135)</f>
        <v>1</v>
      </c>
      <c r="P4134" s="185"/>
    </row>
    <row r="4135" spans="1:17" hidden="1" outlineLevel="2">
      <c r="E4135" s="59"/>
      <c r="F4135" s="60"/>
      <c r="G4135" s="34"/>
      <c r="H4135" s="30"/>
      <c r="I4135" s="35"/>
      <c r="J4135" s="41"/>
      <c r="K4135" s="10"/>
      <c r="L4135" s="32"/>
      <c r="M4135" s="10"/>
      <c r="N4135" s="33">
        <v>1</v>
      </c>
      <c r="O4135" s="31">
        <f>ROUND(PRODUCT(J4135:N4135),2)</f>
        <v>1</v>
      </c>
      <c r="P4135" s="185"/>
    </row>
    <row r="4136" spans="1:17" ht="30" hidden="1" outlineLevel="1">
      <c r="A4136" s="2">
        <v>9</v>
      </c>
      <c r="B4136" s="2">
        <v>11</v>
      </c>
      <c r="C4136" s="2">
        <f>C4134+1</f>
        <v>56</v>
      </c>
      <c r="E4136" s="20" t="str">
        <f>CONCATENATE(A4136,".",B4136,".",C4136)</f>
        <v>9.11.56</v>
      </c>
      <c r="F4136" s="21" t="s">
        <v>4855</v>
      </c>
      <c r="G4136" s="22">
        <v>101548</v>
      </c>
      <c r="H4136" s="23" t="s">
        <v>3791</v>
      </c>
      <c r="I4136" s="24" t="s">
        <v>36</v>
      </c>
      <c r="J4136" s="32"/>
      <c r="K4136" s="10"/>
      <c r="L4136" s="32"/>
      <c r="M4136" s="10"/>
      <c r="N4136" s="33"/>
      <c r="O4136" s="11">
        <f>SUM(O4137)</f>
        <v>1</v>
      </c>
      <c r="P4136" s="185"/>
    </row>
    <row r="4137" spans="1:17" hidden="1" outlineLevel="2">
      <c r="E4137" s="59"/>
      <c r="F4137" s="60"/>
      <c r="G4137" s="34"/>
      <c r="H4137" s="30"/>
      <c r="I4137" s="35"/>
      <c r="J4137" s="41"/>
      <c r="K4137" s="10"/>
      <c r="L4137" s="32"/>
      <c r="M4137" s="10"/>
      <c r="N4137" s="33">
        <v>1</v>
      </c>
      <c r="O4137" s="31">
        <f>ROUND(PRODUCT(J4137:N4137),2)</f>
        <v>1</v>
      </c>
      <c r="P4137" s="185"/>
    </row>
    <row r="4138" spans="1:17" hidden="1" outlineLevel="1">
      <c r="A4138" s="2">
        <v>9</v>
      </c>
      <c r="B4138" s="2">
        <v>11</v>
      </c>
      <c r="C4138" s="2">
        <f>C4136+1</f>
        <v>57</v>
      </c>
      <c r="E4138" s="20" t="str">
        <f>CONCATENATE(A4138,".",B4138,".",C4138)</f>
        <v>9.11.57</v>
      </c>
      <c r="F4138" s="21" t="s">
        <v>4856</v>
      </c>
      <c r="G4138" s="22" t="s">
        <v>4857</v>
      </c>
      <c r="H4138" s="23" t="s">
        <v>4858</v>
      </c>
      <c r="I4138" s="24" t="s">
        <v>36</v>
      </c>
      <c r="J4138" s="32"/>
      <c r="K4138" s="10"/>
      <c r="L4138" s="32"/>
      <c r="M4138" s="10"/>
      <c r="N4138" s="33"/>
      <c r="O4138" s="11">
        <f>SUM(O4139)</f>
        <v>1</v>
      </c>
      <c r="P4138" s="185"/>
    </row>
    <row r="4139" spans="1:17" hidden="1" outlineLevel="2">
      <c r="E4139" s="59"/>
      <c r="F4139" s="60"/>
      <c r="G4139" s="34"/>
      <c r="H4139" s="30"/>
      <c r="I4139" s="35"/>
      <c r="J4139" s="41"/>
      <c r="K4139" s="10"/>
      <c r="L4139" s="32"/>
      <c r="M4139" s="10"/>
      <c r="N4139" s="33">
        <v>1</v>
      </c>
      <c r="O4139" s="31">
        <f>ROUND(PRODUCT(J4139:N4139),2)</f>
        <v>1</v>
      </c>
      <c r="P4139" s="185"/>
    </row>
    <row r="4140" spans="1:17" collapsed="1">
      <c r="A4140" s="2">
        <v>9</v>
      </c>
      <c r="B4140" s="2">
        <v>12</v>
      </c>
      <c r="E4140" s="42" t="str">
        <f>CONCATENATE(A4140,".",B4140)</f>
        <v>9.12</v>
      </c>
      <c r="F4140" s="127">
        <v>911</v>
      </c>
      <c r="G4140" s="13"/>
      <c r="H4140" s="14" t="s">
        <v>700</v>
      </c>
      <c r="I4140" s="15"/>
      <c r="J4140" s="16"/>
      <c r="K4140" s="17"/>
      <c r="L4140" s="16"/>
      <c r="M4140" s="17"/>
      <c r="N4140" s="18"/>
      <c r="O4140" s="19"/>
      <c r="P4140" s="185"/>
      <c r="Q4140" s="185"/>
    </row>
    <row r="4141" spans="1:17">
      <c r="A4141" s="2">
        <v>9</v>
      </c>
      <c r="B4141" s="2">
        <v>12</v>
      </c>
      <c r="C4141" s="2">
        <v>1</v>
      </c>
      <c r="E4141" s="42" t="str">
        <f>CONCATENATE(A4141,".",B4141,".",C4141)</f>
        <v>9.12.1</v>
      </c>
      <c r="F4141" s="45" t="s">
        <v>4764</v>
      </c>
      <c r="G4141" s="13"/>
      <c r="H4141" s="14" t="s">
        <v>702</v>
      </c>
      <c r="I4141" s="15"/>
      <c r="J4141" s="16"/>
      <c r="K4141" s="17"/>
      <c r="L4141" s="16"/>
      <c r="M4141" s="17"/>
      <c r="N4141" s="18"/>
      <c r="O4141" s="19"/>
      <c r="P4141" s="185"/>
      <c r="Q4141" s="185"/>
    </row>
    <row r="4142" spans="1:17" ht="30" hidden="1" outlineLevel="1">
      <c r="A4142" s="2">
        <v>9</v>
      </c>
      <c r="B4142" s="2">
        <v>12</v>
      </c>
      <c r="C4142" s="2">
        <v>1</v>
      </c>
      <c r="D4142" s="2">
        <v>1</v>
      </c>
      <c r="E4142" s="20" t="str">
        <f>CONCATENATE(A4142,".",B4142,".",C4142,".",D4142)</f>
        <v>9.12.1.1</v>
      </c>
      <c r="F4142" s="21" t="s">
        <v>4859</v>
      </c>
      <c r="G4142" s="22" t="s">
        <v>749</v>
      </c>
      <c r="H4142" s="23" t="s">
        <v>750</v>
      </c>
      <c r="I4142" s="24" t="s">
        <v>36</v>
      </c>
      <c r="J4142" s="32"/>
      <c r="K4142" s="10"/>
      <c r="L4142" s="32"/>
      <c r="M4142" s="10"/>
      <c r="N4142" s="33"/>
      <c r="O4142" s="11">
        <f>SUM(O4143)</f>
        <v>1</v>
      </c>
      <c r="P4142" s="185"/>
      <c r="Q4142" s="185"/>
    </row>
    <row r="4143" spans="1:17" hidden="1" outlineLevel="2">
      <c r="E4143" s="29"/>
      <c r="F4143" s="21"/>
      <c r="G4143" s="34"/>
      <c r="H4143" s="30"/>
      <c r="I4143" s="35"/>
      <c r="J4143" s="41"/>
      <c r="K4143" s="10"/>
      <c r="L4143" s="32"/>
      <c r="M4143" s="10"/>
      <c r="N4143" s="33">
        <v>1</v>
      </c>
      <c r="O4143" s="31">
        <f>ROUND(PRODUCT(J4143:N4143),2)</f>
        <v>1</v>
      </c>
      <c r="P4143" s="185"/>
    </row>
    <row r="4144" spans="1:17" ht="30" hidden="1" outlineLevel="1">
      <c r="A4144" s="2">
        <v>9</v>
      </c>
      <c r="B4144" s="2">
        <v>12</v>
      </c>
      <c r="C4144" s="2">
        <v>1</v>
      </c>
      <c r="D4144" s="2">
        <f>D4142+1</f>
        <v>2</v>
      </c>
      <c r="E4144" s="20" t="str">
        <f>CONCATENATE(A4144,".",B4144,".",C4144,".",D4144)</f>
        <v>9.12.1.2</v>
      </c>
      <c r="F4144" s="21" t="s">
        <v>4860</v>
      </c>
      <c r="G4144" s="22">
        <v>89355</v>
      </c>
      <c r="H4144" s="23" t="s">
        <v>3883</v>
      </c>
      <c r="I4144" s="24" t="s">
        <v>144</v>
      </c>
      <c r="J4144" s="32"/>
      <c r="K4144" s="10"/>
      <c r="L4144" s="32"/>
      <c r="M4144" s="10"/>
      <c r="N4144" s="33"/>
      <c r="O4144" s="11">
        <f>SUM(O4145)</f>
        <v>3.49</v>
      </c>
      <c r="P4144" s="185"/>
    </row>
    <row r="4145" spans="1:16" hidden="1" outlineLevel="2">
      <c r="E4145" s="29"/>
      <c r="F4145" s="21"/>
      <c r="G4145" s="22"/>
      <c r="H4145" s="23"/>
      <c r="I4145" s="35"/>
      <c r="J4145" s="41"/>
      <c r="K4145" s="10"/>
      <c r="L4145" s="32"/>
      <c r="M4145" s="10"/>
      <c r="N4145" s="33">
        <f>1.51+1.98</f>
        <v>3.49</v>
      </c>
      <c r="O4145" s="31">
        <f>ROUND(PRODUCT(J4145:N4145),2)</f>
        <v>3.49</v>
      </c>
      <c r="P4145" s="185"/>
    </row>
    <row r="4146" spans="1:16" ht="30" hidden="1" outlineLevel="1">
      <c r="A4146" s="2">
        <v>9</v>
      </c>
      <c r="B4146" s="2">
        <v>12</v>
      </c>
      <c r="C4146" s="2">
        <v>1</v>
      </c>
      <c r="D4146" s="2">
        <f>D4144+1</f>
        <v>3</v>
      </c>
      <c r="E4146" s="20" t="str">
        <f>CONCATENATE(A4146,".",B4146,".",C4146,".",D4146)</f>
        <v>9.12.1.3</v>
      </c>
      <c r="F4146" s="21" t="s">
        <v>4861</v>
      </c>
      <c r="G4146" s="22">
        <v>89356</v>
      </c>
      <c r="H4146" s="23" t="s">
        <v>3263</v>
      </c>
      <c r="I4146" s="24" t="s">
        <v>144</v>
      </c>
      <c r="J4146" s="32"/>
      <c r="K4146" s="10"/>
      <c r="L4146" s="32"/>
      <c r="M4146" s="10"/>
      <c r="N4146" s="33"/>
      <c r="O4146" s="11">
        <f>SUM(O4147)</f>
        <v>10.53</v>
      </c>
      <c r="P4146" s="185"/>
    </row>
    <row r="4147" spans="1:16" hidden="1" outlineLevel="2">
      <c r="E4147" s="29"/>
      <c r="F4147" s="21"/>
      <c r="G4147" s="22"/>
      <c r="H4147" s="23"/>
      <c r="I4147" s="35"/>
      <c r="J4147" s="41"/>
      <c r="K4147" s="10"/>
      <c r="L4147" s="32"/>
      <c r="M4147" s="10"/>
      <c r="N4147" s="33">
        <f>7.65+2.88</f>
        <v>10.530000000000001</v>
      </c>
      <c r="O4147" s="31">
        <f>ROUND(PRODUCT(J4147:N4147),2)</f>
        <v>10.53</v>
      </c>
      <c r="P4147" s="185"/>
    </row>
    <row r="4148" spans="1:16" ht="30" hidden="1" outlineLevel="1">
      <c r="A4148" s="2">
        <v>9</v>
      </c>
      <c r="B4148" s="2">
        <v>12</v>
      </c>
      <c r="C4148" s="2">
        <v>1</v>
      </c>
      <c r="D4148" s="2">
        <f>D4146+1</f>
        <v>4</v>
      </c>
      <c r="E4148" s="20" t="str">
        <f>CONCATENATE(A4148,".",B4148,".",C4148,".",D4148)</f>
        <v>9.12.1.4</v>
      </c>
      <c r="F4148" s="21" t="s">
        <v>4862</v>
      </c>
      <c r="G4148" s="22">
        <v>103947</v>
      </c>
      <c r="H4148" s="23" t="s">
        <v>1621</v>
      </c>
      <c r="I4148" s="24" t="s">
        <v>36</v>
      </c>
      <c r="J4148" s="32"/>
      <c r="K4148" s="10"/>
      <c r="L4148" s="32"/>
      <c r="M4148" s="10"/>
      <c r="N4148" s="33"/>
      <c r="O4148" s="11">
        <f>SUM(O4149)</f>
        <v>2</v>
      </c>
      <c r="P4148" s="185"/>
    </row>
    <row r="4149" spans="1:16" hidden="1" outlineLevel="2">
      <c r="E4149" s="29"/>
      <c r="F4149" s="21"/>
      <c r="G4149" s="22"/>
      <c r="H4149" s="23"/>
      <c r="I4149" s="35"/>
      <c r="J4149" s="41"/>
      <c r="K4149" s="10"/>
      <c r="L4149" s="32"/>
      <c r="M4149" s="10"/>
      <c r="N4149" s="33">
        <v>2</v>
      </c>
      <c r="O4149" s="31">
        <f>ROUND(PRODUCT(J4149:N4149),2)</f>
        <v>2</v>
      </c>
      <c r="P4149" s="185"/>
    </row>
    <row r="4150" spans="1:16" ht="45" hidden="1" outlineLevel="1">
      <c r="A4150" s="2">
        <v>9</v>
      </c>
      <c r="B4150" s="2">
        <v>12</v>
      </c>
      <c r="C4150" s="2">
        <v>1</v>
      </c>
      <c r="D4150" s="2" t="e">
        <f>#REF!+1</f>
        <v>#REF!</v>
      </c>
      <c r="E4150" s="20" t="e">
        <f>CONCATENATE(A4150,".",B4150,".",C4150,".",D4150)</f>
        <v>#REF!</v>
      </c>
      <c r="F4150" s="21" t="s">
        <v>4863</v>
      </c>
      <c r="G4150" s="22">
        <v>90373</v>
      </c>
      <c r="H4150" s="23" t="s">
        <v>3267</v>
      </c>
      <c r="I4150" s="24" t="s">
        <v>36</v>
      </c>
      <c r="J4150" s="32"/>
      <c r="K4150" s="10"/>
      <c r="L4150" s="32"/>
      <c r="M4150" s="10"/>
      <c r="N4150" s="33"/>
      <c r="O4150" s="11">
        <f>SUM(O4151)</f>
        <v>3</v>
      </c>
      <c r="P4150" s="185"/>
    </row>
    <row r="4151" spans="1:16" hidden="1" outlineLevel="2">
      <c r="E4151" s="29"/>
      <c r="F4151" s="21"/>
      <c r="G4151" s="22"/>
      <c r="H4151" s="23"/>
      <c r="I4151" s="35"/>
      <c r="J4151" s="41"/>
      <c r="K4151" s="10"/>
      <c r="L4151" s="32"/>
      <c r="M4151" s="10"/>
      <c r="N4151" s="33">
        <v>3</v>
      </c>
      <c r="O4151" s="31">
        <f>ROUND(PRODUCT(J4151:N4151),2)</f>
        <v>3</v>
      </c>
      <c r="P4151" s="185"/>
    </row>
    <row r="4152" spans="1:16" ht="30" hidden="1" outlineLevel="1">
      <c r="A4152" s="2">
        <v>9</v>
      </c>
      <c r="B4152" s="2">
        <v>12</v>
      </c>
      <c r="C4152" s="2">
        <v>1</v>
      </c>
      <c r="D4152" s="2" t="e">
        <f>D4150+1</f>
        <v>#REF!</v>
      </c>
      <c r="E4152" s="20" t="e">
        <f>CONCATENATE(A4152,".",B4152,".",C4152,".",D4152)</f>
        <v>#REF!</v>
      </c>
      <c r="F4152" s="21" t="s">
        <v>4864</v>
      </c>
      <c r="G4152" s="22">
        <v>89362</v>
      </c>
      <c r="H4152" s="23" t="s">
        <v>729</v>
      </c>
      <c r="I4152" s="24" t="s">
        <v>36</v>
      </c>
      <c r="J4152" s="32"/>
      <c r="K4152" s="10"/>
      <c r="L4152" s="32"/>
      <c r="M4152" s="10"/>
      <c r="N4152" s="33"/>
      <c r="O4152" s="11">
        <f>SUM(O4153)</f>
        <v>8</v>
      </c>
      <c r="P4152" s="185"/>
    </row>
    <row r="4153" spans="1:16" hidden="1" outlineLevel="2">
      <c r="E4153" s="29"/>
      <c r="F4153" s="21"/>
      <c r="G4153" s="22"/>
      <c r="H4153" s="23"/>
      <c r="I4153" s="35"/>
      <c r="J4153" s="41"/>
      <c r="K4153" s="10"/>
      <c r="L4153" s="32"/>
      <c r="M4153" s="10"/>
      <c r="N4153" s="33">
        <v>8</v>
      </c>
      <c r="O4153" s="31">
        <f>ROUND(PRODUCT(J4153:N4153),2)</f>
        <v>8</v>
      </c>
      <c r="P4153" s="185"/>
    </row>
    <row r="4154" spans="1:16" ht="45" hidden="1" outlineLevel="1">
      <c r="A4154" s="2">
        <v>9</v>
      </c>
      <c r="B4154" s="2">
        <v>12</v>
      </c>
      <c r="C4154" s="2">
        <v>1</v>
      </c>
      <c r="D4154" s="2" t="e">
        <f>D4152+1</f>
        <v>#REF!</v>
      </c>
      <c r="E4154" s="20" t="e">
        <f>CONCATENATE(A4154,".",B4154,".",C4154,".",D4154)</f>
        <v>#REF!</v>
      </c>
      <c r="F4154" s="21" t="s">
        <v>4865</v>
      </c>
      <c r="G4154" s="22">
        <v>89366</v>
      </c>
      <c r="H4154" s="23" t="s">
        <v>3269</v>
      </c>
      <c r="I4154" s="24" t="s">
        <v>36</v>
      </c>
      <c r="J4154" s="32"/>
      <c r="K4154" s="10"/>
      <c r="L4154" s="32"/>
      <c r="M4154" s="10"/>
      <c r="N4154" s="33"/>
      <c r="O4154" s="11">
        <f>SUM(O4155)</f>
        <v>1</v>
      </c>
      <c r="P4154" s="185"/>
    </row>
    <row r="4155" spans="1:16" hidden="1" outlineLevel="2">
      <c r="E4155" s="29"/>
      <c r="F4155" s="21"/>
      <c r="G4155" s="22"/>
      <c r="H4155" s="23"/>
      <c r="I4155" s="35"/>
      <c r="J4155" s="41"/>
      <c r="K4155" s="10"/>
      <c r="L4155" s="32"/>
      <c r="M4155" s="10"/>
      <c r="N4155" s="33">
        <v>1</v>
      </c>
      <c r="O4155" s="31">
        <f>ROUND(PRODUCT(J4155:N4155),2)</f>
        <v>1</v>
      </c>
      <c r="P4155" s="185"/>
    </row>
    <row r="4156" spans="1:16" ht="30" hidden="1" outlineLevel="1">
      <c r="A4156" s="2">
        <v>9</v>
      </c>
      <c r="B4156" s="2">
        <v>12</v>
      </c>
      <c r="C4156" s="2">
        <v>1</v>
      </c>
      <c r="D4156" s="2" t="e">
        <f>D4154+1</f>
        <v>#REF!</v>
      </c>
      <c r="E4156" s="20" t="e">
        <f>CONCATENATE(A4156,".",B4156,".",C4156,".",D4156)</f>
        <v>#REF!</v>
      </c>
      <c r="F4156" s="21" t="s">
        <v>4866</v>
      </c>
      <c r="G4156" s="22">
        <v>89358</v>
      </c>
      <c r="H4156" s="23" t="s">
        <v>1627</v>
      </c>
      <c r="I4156" s="24" t="s">
        <v>36</v>
      </c>
      <c r="J4156" s="32"/>
      <c r="K4156" s="10"/>
      <c r="L4156" s="32"/>
      <c r="M4156" s="10"/>
      <c r="N4156" s="33"/>
      <c r="O4156" s="11">
        <f>SUM(O4157)</f>
        <v>3</v>
      </c>
      <c r="P4156" s="185"/>
    </row>
    <row r="4157" spans="1:16" hidden="1" outlineLevel="2">
      <c r="E4157" s="29"/>
      <c r="F4157" s="21"/>
      <c r="G4157" s="22"/>
      <c r="H4157" s="23"/>
      <c r="I4157" s="35"/>
      <c r="J4157" s="41"/>
      <c r="K4157" s="10"/>
      <c r="L4157" s="32"/>
      <c r="M4157" s="10"/>
      <c r="N4157" s="33">
        <v>3</v>
      </c>
      <c r="O4157" s="31">
        <f>ROUND(PRODUCT(J4157:N4157),2)</f>
        <v>3</v>
      </c>
      <c r="P4157" s="185"/>
    </row>
    <row r="4158" spans="1:16" ht="45" hidden="1" outlineLevel="1">
      <c r="A4158" s="2">
        <v>9</v>
      </c>
      <c r="B4158" s="2">
        <v>12</v>
      </c>
      <c r="C4158" s="2">
        <v>1</v>
      </c>
      <c r="D4158" s="2" t="e">
        <f>#REF!+1</f>
        <v>#REF!</v>
      </c>
      <c r="E4158" s="20" t="e">
        <f>CONCATENATE(A4158,".",B4158,".",C4158,".",D4158)</f>
        <v>#REF!</v>
      </c>
      <c r="F4158" s="21" t="s">
        <v>4867</v>
      </c>
      <c r="G4158" s="22">
        <v>90374</v>
      </c>
      <c r="H4158" s="23" t="s">
        <v>3275</v>
      </c>
      <c r="I4158" s="24" t="s">
        <v>36</v>
      </c>
      <c r="J4158" s="32"/>
      <c r="K4158" s="10"/>
      <c r="L4158" s="32"/>
      <c r="M4158" s="10"/>
      <c r="N4158" s="33"/>
      <c r="O4158" s="11">
        <f>SUM(O4159)</f>
        <v>1</v>
      </c>
      <c r="P4158" s="185"/>
    </row>
    <row r="4159" spans="1:16" hidden="1" outlineLevel="2">
      <c r="E4159" s="29"/>
      <c r="F4159" s="21"/>
      <c r="G4159" s="22"/>
      <c r="H4159" s="23"/>
      <c r="I4159" s="35"/>
      <c r="J4159" s="41"/>
      <c r="K4159" s="10"/>
      <c r="L4159" s="32"/>
      <c r="M4159" s="10"/>
      <c r="N4159" s="33">
        <v>1</v>
      </c>
      <c r="O4159" s="31">
        <f>ROUND(PRODUCT(J4159:N4159),2)</f>
        <v>1</v>
      </c>
      <c r="P4159" s="185"/>
    </row>
    <row r="4160" spans="1:16" ht="30" hidden="1" outlineLevel="1">
      <c r="A4160" s="2">
        <v>9</v>
      </c>
      <c r="B4160" s="2">
        <v>12</v>
      </c>
      <c r="C4160" s="2">
        <v>1</v>
      </c>
      <c r="D4160" s="2" t="e">
        <f>D4158+1</f>
        <v>#REF!</v>
      </c>
      <c r="E4160" s="20" t="e">
        <f>CONCATENATE(A4160,".",B4160,".",C4160,".",D4160)</f>
        <v>#REF!</v>
      </c>
      <c r="F4160" s="21" t="s">
        <v>4868</v>
      </c>
      <c r="G4160" s="22">
        <v>89395</v>
      </c>
      <c r="H4160" s="23" t="s">
        <v>741</v>
      </c>
      <c r="I4160" s="24" t="s">
        <v>36</v>
      </c>
      <c r="J4160" s="32"/>
      <c r="K4160" s="10"/>
      <c r="L4160" s="32"/>
      <c r="M4160" s="10"/>
      <c r="N4160" s="33"/>
      <c r="O4160" s="11">
        <f>SUM(O4161)</f>
        <v>1</v>
      </c>
      <c r="P4160" s="185"/>
    </row>
    <row r="4161" spans="1:17" hidden="1" outlineLevel="2">
      <c r="E4161" s="29"/>
      <c r="F4161" s="21"/>
      <c r="G4161" s="22"/>
      <c r="H4161" s="23"/>
      <c r="I4161" s="35"/>
      <c r="J4161" s="41"/>
      <c r="K4161" s="10"/>
      <c r="L4161" s="32"/>
      <c r="M4161" s="10"/>
      <c r="N4161" s="33">
        <v>1</v>
      </c>
      <c r="O4161" s="31">
        <f>ROUND(PRODUCT(J4161:N4161),2)</f>
        <v>1</v>
      </c>
      <c r="P4161" s="185"/>
    </row>
    <row r="4162" spans="1:17" ht="30" hidden="1" outlineLevel="1">
      <c r="A4162" s="2">
        <v>9</v>
      </c>
      <c r="B4162" s="2">
        <v>12</v>
      </c>
      <c r="C4162" s="2">
        <v>1</v>
      </c>
      <c r="D4162" s="2" t="e">
        <f>D4160+1</f>
        <v>#REF!</v>
      </c>
      <c r="E4162" s="20" t="e">
        <f>CONCATENATE(A4162,".",B4162,".",C4162,".",D4162)</f>
        <v>#REF!</v>
      </c>
      <c r="F4162" s="21" t="s">
        <v>4869</v>
      </c>
      <c r="G4162" s="22">
        <v>89352</v>
      </c>
      <c r="H4162" s="23" t="s">
        <v>1632</v>
      </c>
      <c r="I4162" s="24" t="s">
        <v>36</v>
      </c>
      <c r="J4162" s="32"/>
      <c r="K4162" s="10"/>
      <c r="L4162" s="32"/>
      <c r="M4162" s="10"/>
      <c r="N4162" s="33"/>
      <c r="O4162" s="11">
        <f>SUM(O4163)</f>
        <v>1</v>
      </c>
      <c r="P4162" s="185"/>
    </row>
    <row r="4163" spans="1:17" hidden="1" outlineLevel="2">
      <c r="E4163" s="29"/>
      <c r="F4163" s="21"/>
      <c r="G4163" s="22"/>
      <c r="H4163" s="23"/>
      <c r="I4163" s="35"/>
      <c r="J4163" s="41"/>
      <c r="K4163" s="10"/>
      <c r="L4163" s="32"/>
      <c r="M4163" s="10"/>
      <c r="N4163" s="33">
        <v>1</v>
      </c>
      <c r="O4163" s="31">
        <f>ROUND(PRODUCT(J4163:N4163),2)</f>
        <v>1</v>
      </c>
      <c r="P4163" s="185"/>
    </row>
    <row r="4164" spans="1:17" ht="30" hidden="1" outlineLevel="1">
      <c r="A4164" s="2">
        <v>9</v>
      </c>
      <c r="B4164" s="2">
        <v>12</v>
      </c>
      <c r="C4164" s="2">
        <v>1</v>
      </c>
      <c r="D4164" s="2" t="e">
        <f>D4162+1</f>
        <v>#REF!</v>
      </c>
      <c r="E4164" s="20" t="e">
        <f>CONCATENATE(A4164,".",B4164,".",C4164,".",D4164)</f>
        <v>#REF!</v>
      </c>
      <c r="F4164" s="21" t="s">
        <v>4870</v>
      </c>
      <c r="G4164" s="22">
        <v>89393</v>
      </c>
      <c r="H4164" s="23" t="s">
        <v>1635</v>
      </c>
      <c r="I4164" s="24" t="s">
        <v>36</v>
      </c>
      <c r="J4164" s="32"/>
      <c r="K4164" s="10"/>
      <c r="L4164" s="32"/>
      <c r="M4164" s="10"/>
      <c r="N4164" s="33"/>
      <c r="O4164" s="11">
        <f>SUM(O4165)</f>
        <v>1</v>
      </c>
      <c r="P4164" s="185"/>
    </row>
    <row r="4165" spans="1:17" hidden="1" outlineLevel="2">
      <c r="E4165" s="29"/>
      <c r="F4165" s="21"/>
      <c r="G4165" s="34"/>
      <c r="H4165" s="30"/>
      <c r="I4165" s="35"/>
      <c r="J4165" s="41"/>
      <c r="K4165" s="10"/>
      <c r="L4165" s="32"/>
      <c r="M4165" s="10"/>
      <c r="N4165" s="33">
        <v>1</v>
      </c>
      <c r="O4165" s="31">
        <f>ROUND(PRODUCT(J4165:N4165),2)</f>
        <v>1</v>
      </c>
      <c r="P4165" s="185"/>
    </row>
    <row r="4166" spans="1:17" ht="30" hidden="1" outlineLevel="1">
      <c r="A4166" s="2">
        <v>9</v>
      </c>
      <c r="B4166" s="2">
        <v>12</v>
      </c>
      <c r="C4166" s="2">
        <v>1</v>
      </c>
      <c r="D4166" s="2" t="e">
        <f>#REF!+1</f>
        <v>#REF!</v>
      </c>
      <c r="E4166" s="20" t="e">
        <f>CONCATENATE(A4166,".",B4166,".",C4166,".",D4166)</f>
        <v>#REF!</v>
      </c>
      <c r="F4166" s="21" t="s">
        <v>4871</v>
      </c>
      <c r="G4166" s="22">
        <v>103045</v>
      </c>
      <c r="H4166" s="23" t="s">
        <v>1111</v>
      </c>
      <c r="I4166" s="24" t="s">
        <v>36</v>
      </c>
      <c r="J4166" s="32"/>
      <c r="K4166" s="10"/>
      <c r="L4166" s="32"/>
      <c r="M4166" s="10"/>
      <c r="N4166" s="33"/>
      <c r="O4166" s="11">
        <f>SUM(O4167)</f>
        <v>1</v>
      </c>
      <c r="P4166" s="185"/>
    </row>
    <row r="4167" spans="1:17" hidden="1" outlineLevel="2">
      <c r="E4167" s="29"/>
      <c r="F4167" s="21"/>
      <c r="G4167" s="22"/>
      <c r="H4167" s="23"/>
      <c r="I4167" s="35"/>
      <c r="J4167" s="41"/>
      <c r="K4167" s="10"/>
      <c r="L4167" s="32"/>
      <c r="M4167" s="10"/>
      <c r="N4167" s="33">
        <v>1</v>
      </c>
      <c r="O4167" s="31">
        <f>ROUND(PRODUCT(J4167:N4167),2)</f>
        <v>1</v>
      </c>
      <c r="P4167" s="185"/>
    </row>
    <row r="4168" spans="1:17" collapsed="1">
      <c r="A4168" s="2">
        <v>9</v>
      </c>
      <c r="B4168" s="2">
        <v>12</v>
      </c>
      <c r="C4168" s="2">
        <v>2</v>
      </c>
      <c r="E4168" s="42" t="str">
        <f>CONCATENATE(A4168,".",B4168,".",C4168)</f>
        <v>9.12.2</v>
      </c>
      <c r="F4168" s="45" t="s">
        <v>4765</v>
      </c>
      <c r="G4168" s="13"/>
      <c r="H4168" s="14" t="s">
        <v>752</v>
      </c>
      <c r="I4168" s="15"/>
      <c r="J4168" s="16"/>
      <c r="K4168" s="17"/>
      <c r="L4168" s="16"/>
      <c r="M4168" s="17"/>
      <c r="N4168" s="18"/>
      <c r="O4168" s="19"/>
      <c r="P4168" s="185"/>
      <c r="Q4168" s="185"/>
    </row>
    <row r="4169" spans="1:17" ht="30" hidden="1" outlineLevel="1">
      <c r="A4169" s="2">
        <v>9</v>
      </c>
      <c r="B4169" s="2">
        <v>12</v>
      </c>
      <c r="C4169" s="2">
        <v>2</v>
      </c>
      <c r="D4169" s="2" t="e">
        <f>#REF!+1</f>
        <v>#REF!</v>
      </c>
      <c r="E4169" s="20" t="e">
        <f>CONCATENATE(A4169,".",B4169,".",C4169,".",D4169)</f>
        <v>#REF!</v>
      </c>
      <c r="F4169" s="21" t="s">
        <v>4872</v>
      </c>
      <c r="G4169" s="22">
        <v>89711</v>
      </c>
      <c r="H4169" s="23" t="s">
        <v>755</v>
      </c>
      <c r="I4169" s="24" t="s">
        <v>144</v>
      </c>
      <c r="J4169" s="32"/>
      <c r="K4169" s="10"/>
      <c r="L4169" s="32"/>
      <c r="M4169" s="10"/>
      <c r="N4169" s="33"/>
      <c r="O4169" s="11">
        <f>SUM(O4170)</f>
        <v>25.68</v>
      </c>
      <c r="P4169" s="185"/>
    </row>
    <row r="4170" spans="1:17" hidden="1" outlineLevel="2">
      <c r="E4170" s="29"/>
      <c r="F4170" s="21"/>
      <c r="G4170" s="22"/>
      <c r="H4170" s="23"/>
      <c r="I4170" s="35"/>
      <c r="J4170" s="41"/>
      <c r="K4170" s="10"/>
      <c r="L4170" s="32"/>
      <c r="M4170" s="10"/>
      <c r="N4170" s="33">
        <f>11.26+14.42</f>
        <v>25.68</v>
      </c>
      <c r="O4170" s="31">
        <f>ROUND(PRODUCT(J4170:N4170),2)</f>
        <v>25.68</v>
      </c>
      <c r="P4170" s="185"/>
    </row>
    <row r="4171" spans="1:17" ht="30" hidden="1" outlineLevel="1">
      <c r="A4171" s="2">
        <v>9</v>
      </c>
      <c r="B4171" s="2">
        <v>12</v>
      </c>
      <c r="C4171" s="2">
        <v>2</v>
      </c>
      <c r="D4171" s="2" t="e">
        <f>#REF!+1</f>
        <v>#REF!</v>
      </c>
      <c r="E4171" s="20" t="e">
        <f>CONCATENATE(A4171,".",B4171,".",C4171,".",D4171)</f>
        <v>#REF!</v>
      </c>
      <c r="F4171" s="21" t="s">
        <v>4873</v>
      </c>
      <c r="G4171" s="22">
        <v>89714</v>
      </c>
      <c r="H4171" s="23" t="s">
        <v>758</v>
      </c>
      <c r="I4171" s="24" t="s">
        <v>144</v>
      </c>
      <c r="J4171" s="32"/>
      <c r="K4171" s="10"/>
      <c r="L4171" s="32"/>
      <c r="M4171" s="10"/>
      <c r="N4171" s="33"/>
      <c r="O4171" s="11">
        <f>SUM(O4172)</f>
        <v>1.81</v>
      </c>
      <c r="P4171" s="185"/>
    </row>
    <row r="4172" spans="1:17" hidden="1" outlineLevel="2">
      <c r="E4172" s="29"/>
      <c r="F4172" s="21"/>
      <c r="G4172" s="22"/>
      <c r="H4172" s="23"/>
      <c r="I4172" s="35"/>
      <c r="J4172" s="41"/>
      <c r="K4172" s="10"/>
      <c r="L4172" s="32"/>
      <c r="M4172" s="10"/>
      <c r="N4172" s="33">
        <v>1.81</v>
      </c>
      <c r="O4172" s="31">
        <f>ROUND(PRODUCT(J4172:N4172),2)</f>
        <v>1.81</v>
      </c>
      <c r="P4172" s="185"/>
    </row>
    <row r="4173" spans="1:17" hidden="1" outlineLevel="1">
      <c r="A4173" s="2">
        <v>9</v>
      </c>
      <c r="B4173" s="2">
        <v>12</v>
      </c>
      <c r="C4173" s="2">
        <v>2</v>
      </c>
      <c r="D4173" s="2" t="e">
        <f>D4171+1</f>
        <v>#REF!</v>
      </c>
      <c r="E4173" s="20" t="e">
        <f>CONCATENATE(A4173,".",B4173,".",C4173,".",D4173)</f>
        <v>#REF!</v>
      </c>
      <c r="F4173" s="21" t="s">
        <v>4874</v>
      </c>
      <c r="G4173" s="22">
        <v>2351</v>
      </c>
      <c r="H4173" s="23" t="s">
        <v>833</v>
      </c>
      <c r="I4173" s="24" t="s">
        <v>36</v>
      </c>
      <c r="J4173" s="32"/>
      <c r="K4173" s="10"/>
      <c r="L4173" s="32"/>
      <c r="M4173" s="10"/>
      <c r="N4173" s="33"/>
      <c r="O4173" s="11">
        <f>SUM(O4174)</f>
        <v>1</v>
      </c>
      <c r="P4173" s="185"/>
    </row>
    <row r="4174" spans="1:17" hidden="1" outlineLevel="2">
      <c r="E4174" s="29"/>
      <c r="F4174" s="21"/>
      <c r="G4174" s="22"/>
      <c r="H4174" s="23"/>
      <c r="I4174" s="35"/>
      <c r="J4174" s="41"/>
      <c r="K4174" s="10"/>
      <c r="L4174" s="32"/>
      <c r="M4174" s="10"/>
      <c r="N4174" s="33">
        <v>1</v>
      </c>
      <c r="O4174" s="31">
        <f>ROUND(PRODUCT(J4174:N4174),2)</f>
        <v>1</v>
      </c>
      <c r="P4174" s="185"/>
    </row>
    <row r="4175" spans="1:17" ht="30" hidden="1" outlineLevel="1">
      <c r="A4175" s="2">
        <v>9</v>
      </c>
      <c r="B4175" s="2">
        <v>12</v>
      </c>
      <c r="C4175" s="2">
        <v>2</v>
      </c>
      <c r="D4175" s="2" t="e">
        <f>D4173+1</f>
        <v>#REF!</v>
      </c>
      <c r="E4175" s="20" t="e">
        <f>CONCATENATE(A4175,".",B4175,".",C4175,".",D4175)</f>
        <v>#REF!</v>
      </c>
      <c r="F4175" s="21" t="s">
        <v>4875</v>
      </c>
      <c r="G4175" s="22">
        <v>2358</v>
      </c>
      <c r="H4175" s="23" t="s">
        <v>824</v>
      </c>
      <c r="I4175" s="24" t="s">
        <v>36</v>
      </c>
      <c r="J4175" s="32"/>
      <c r="K4175" s="10"/>
      <c r="L4175" s="32"/>
      <c r="M4175" s="10"/>
      <c r="N4175" s="33"/>
      <c r="O4175" s="11">
        <f>SUM(O4176)</f>
        <v>1</v>
      </c>
      <c r="P4175" s="185"/>
    </row>
    <row r="4176" spans="1:17" hidden="1" outlineLevel="2">
      <c r="E4176" s="29"/>
      <c r="F4176" s="21"/>
      <c r="G4176" s="22"/>
      <c r="H4176" s="23"/>
      <c r="I4176" s="35"/>
      <c r="J4176" s="41"/>
      <c r="K4176" s="10"/>
      <c r="L4176" s="32"/>
      <c r="M4176" s="10"/>
      <c r="N4176" s="33">
        <v>1</v>
      </c>
      <c r="O4176" s="31">
        <f>ROUND(PRODUCT(J4176:N4176),2)</f>
        <v>1</v>
      </c>
      <c r="P4176" s="185"/>
    </row>
    <row r="4177" spans="1:17" ht="45" hidden="1" outlineLevel="1">
      <c r="A4177" s="2">
        <v>9</v>
      </c>
      <c r="B4177" s="2">
        <v>12</v>
      </c>
      <c r="C4177" s="2">
        <v>2</v>
      </c>
      <c r="D4177" s="2" t="e">
        <f>D4175+1</f>
        <v>#REF!</v>
      </c>
      <c r="E4177" s="20" t="e">
        <f>CONCATENATE(A4177,".",B4177,".",C4177,".",D4177)</f>
        <v>#REF!</v>
      </c>
      <c r="F4177" s="21" t="s">
        <v>4876</v>
      </c>
      <c r="G4177" s="22">
        <v>89726</v>
      </c>
      <c r="H4177" s="23" t="s">
        <v>770</v>
      </c>
      <c r="I4177" s="24" t="s">
        <v>36</v>
      </c>
      <c r="J4177" s="32"/>
      <c r="K4177" s="10"/>
      <c r="L4177" s="32"/>
      <c r="M4177" s="10"/>
      <c r="N4177" s="33"/>
      <c r="O4177" s="11">
        <f>SUM(O4178)</f>
        <v>4</v>
      </c>
      <c r="P4177" s="185"/>
    </row>
    <row r="4178" spans="1:17" hidden="1" outlineLevel="2">
      <c r="E4178" s="29"/>
      <c r="F4178" s="21"/>
      <c r="G4178" s="22"/>
      <c r="H4178" s="23"/>
      <c r="I4178" s="35"/>
      <c r="J4178" s="41"/>
      <c r="K4178" s="10"/>
      <c r="L4178" s="32"/>
      <c r="M4178" s="10"/>
      <c r="N4178" s="33">
        <v>4</v>
      </c>
      <c r="O4178" s="31">
        <f>ROUND(PRODUCT(J4178:N4178),2)</f>
        <v>4</v>
      </c>
      <c r="P4178" s="185"/>
    </row>
    <row r="4179" spans="1:17" ht="45" hidden="1" outlineLevel="1">
      <c r="A4179" s="2">
        <v>9</v>
      </c>
      <c r="B4179" s="2">
        <v>12</v>
      </c>
      <c r="C4179" s="2">
        <v>2</v>
      </c>
      <c r="D4179" s="2" t="e">
        <f>#REF!+1</f>
        <v>#REF!</v>
      </c>
      <c r="E4179" s="20" t="e">
        <f>CONCATENATE(A4179,".",B4179,".",C4179,".",D4179)</f>
        <v>#REF!</v>
      </c>
      <c r="F4179" s="21" t="s">
        <v>4877</v>
      </c>
      <c r="G4179" s="22">
        <v>89724</v>
      </c>
      <c r="H4179" s="23" t="s">
        <v>812</v>
      </c>
      <c r="I4179" s="24" t="s">
        <v>36</v>
      </c>
      <c r="J4179" s="32"/>
      <c r="K4179" s="10"/>
      <c r="L4179" s="32"/>
      <c r="M4179" s="10"/>
      <c r="N4179" s="33"/>
      <c r="O4179" s="11">
        <f>SUM(O4180)</f>
        <v>9</v>
      </c>
      <c r="P4179" s="185"/>
    </row>
    <row r="4180" spans="1:17" hidden="1" outlineLevel="2">
      <c r="E4180" s="29"/>
      <c r="F4180" s="21"/>
      <c r="G4180" s="22"/>
      <c r="H4180" s="23"/>
      <c r="I4180" s="35"/>
      <c r="J4180" s="41"/>
      <c r="K4180" s="10"/>
      <c r="L4180" s="32"/>
      <c r="M4180" s="10"/>
      <c r="N4180" s="33">
        <v>9</v>
      </c>
      <c r="O4180" s="31">
        <f>ROUND(PRODUCT(J4180:N4180),2)</f>
        <v>9</v>
      </c>
      <c r="P4180" s="185"/>
    </row>
    <row r="4181" spans="1:17" ht="45" hidden="1" outlineLevel="1">
      <c r="A4181" s="2">
        <v>9</v>
      </c>
      <c r="B4181" s="2">
        <v>12</v>
      </c>
      <c r="C4181" s="2">
        <v>2</v>
      </c>
      <c r="D4181" s="2" t="e">
        <f>D4179+1</f>
        <v>#REF!</v>
      </c>
      <c r="E4181" s="20" t="e">
        <f>CONCATENATE(A4181,".",B4181,".",C4181,".",D4181)</f>
        <v>#REF!</v>
      </c>
      <c r="F4181" s="21" t="s">
        <v>4878</v>
      </c>
      <c r="G4181" s="22">
        <v>89744</v>
      </c>
      <c r="H4181" s="23" t="s">
        <v>1646</v>
      </c>
      <c r="I4181" s="24" t="s">
        <v>36</v>
      </c>
      <c r="J4181" s="32"/>
      <c r="K4181" s="10"/>
      <c r="L4181" s="32"/>
      <c r="M4181" s="10"/>
      <c r="N4181" s="33"/>
      <c r="O4181" s="11">
        <f>SUM(O4182)</f>
        <v>1</v>
      </c>
      <c r="P4181" s="185"/>
    </row>
    <row r="4182" spans="1:17" hidden="1" outlineLevel="2">
      <c r="E4182" s="29"/>
      <c r="F4182" s="21"/>
      <c r="G4182" s="22"/>
      <c r="H4182" s="23"/>
      <c r="I4182" s="35"/>
      <c r="J4182" s="41"/>
      <c r="K4182" s="10"/>
      <c r="L4182" s="32"/>
      <c r="M4182" s="10"/>
      <c r="N4182" s="33">
        <v>1</v>
      </c>
      <c r="O4182" s="31">
        <f>ROUND(PRODUCT(J4182:N4182),2)</f>
        <v>1</v>
      </c>
      <c r="P4182" s="185"/>
    </row>
    <row r="4183" spans="1:17" ht="45" hidden="1" outlineLevel="1">
      <c r="A4183" s="2">
        <v>9</v>
      </c>
      <c r="B4183" s="2">
        <v>12</v>
      </c>
      <c r="C4183" s="2">
        <v>2</v>
      </c>
      <c r="D4183" s="2" t="e">
        <f>#REF!+1</f>
        <v>#REF!</v>
      </c>
      <c r="E4183" s="20" t="e">
        <f>CONCATENATE(A4183,".",B4183,".",C4183,".",D4183)</f>
        <v>#REF!</v>
      </c>
      <c r="F4183" s="21" t="s">
        <v>4879</v>
      </c>
      <c r="G4183" s="22">
        <v>89782</v>
      </c>
      <c r="H4183" s="23" t="s">
        <v>803</v>
      </c>
      <c r="I4183" s="24" t="s">
        <v>36</v>
      </c>
      <c r="J4183" s="32"/>
      <c r="K4183" s="10"/>
      <c r="L4183" s="32"/>
      <c r="M4183" s="10"/>
      <c r="N4183" s="33"/>
      <c r="O4183" s="11">
        <f>SUM(O4184)</f>
        <v>5</v>
      </c>
      <c r="P4183" s="185"/>
    </row>
    <row r="4184" spans="1:17" hidden="1" outlineLevel="2">
      <c r="E4184" s="29"/>
      <c r="F4184" s="21"/>
      <c r="G4184" s="22"/>
      <c r="H4184" s="23"/>
      <c r="I4184" s="35"/>
      <c r="J4184" s="41"/>
      <c r="K4184" s="10"/>
      <c r="L4184" s="32"/>
      <c r="M4184" s="10"/>
      <c r="N4184" s="33">
        <v>5</v>
      </c>
      <c r="O4184" s="31">
        <f>ROUND(PRODUCT(J4184:N4184),2)</f>
        <v>5</v>
      </c>
      <c r="P4184" s="185"/>
    </row>
    <row r="4185" spans="1:17" ht="45" hidden="1" outlineLevel="1">
      <c r="A4185" s="2">
        <v>9</v>
      </c>
      <c r="B4185" s="2">
        <v>12</v>
      </c>
      <c r="C4185" s="2">
        <v>2</v>
      </c>
      <c r="D4185" s="2" t="e">
        <f>D4183+1</f>
        <v>#REF!</v>
      </c>
      <c r="E4185" s="20" t="e">
        <f>CONCATENATE(A4185,".",B4185,".",C4185,".",D4185)</f>
        <v>#REF!</v>
      </c>
      <c r="F4185" s="21" t="s">
        <v>4880</v>
      </c>
      <c r="G4185" s="22">
        <v>1055</v>
      </c>
      <c r="H4185" s="23" t="s">
        <v>827</v>
      </c>
      <c r="I4185" s="24" t="s">
        <v>36</v>
      </c>
      <c r="J4185" s="32"/>
      <c r="K4185" s="10"/>
      <c r="L4185" s="32"/>
      <c r="M4185" s="10"/>
      <c r="N4185" s="33"/>
      <c r="O4185" s="11">
        <f>SUM(O4186)</f>
        <v>4</v>
      </c>
      <c r="P4185" s="185"/>
    </row>
    <row r="4186" spans="1:17" hidden="1" outlineLevel="2">
      <c r="E4186" s="29"/>
      <c r="F4186" s="21"/>
      <c r="G4186" s="22"/>
      <c r="H4186" s="23"/>
      <c r="I4186" s="35"/>
      <c r="J4186" s="41"/>
      <c r="K4186" s="10"/>
      <c r="L4186" s="32"/>
      <c r="M4186" s="10"/>
      <c r="N4186" s="33">
        <v>4</v>
      </c>
      <c r="O4186" s="31">
        <f>ROUND(PRODUCT(J4186:N4186),2)</f>
        <v>4</v>
      </c>
      <c r="P4186" s="185"/>
    </row>
    <row r="4187" spans="1:17" collapsed="1">
      <c r="A4187" s="2">
        <v>9</v>
      </c>
      <c r="B4187" s="2">
        <v>12</v>
      </c>
      <c r="C4187" s="2">
        <v>3</v>
      </c>
      <c r="E4187" s="42" t="str">
        <f>CONCATENATE(A4187,".",B4187,".",C4187)</f>
        <v>9.12.3</v>
      </c>
      <c r="F4187" s="45" t="s">
        <v>4766</v>
      </c>
      <c r="G4187" s="13"/>
      <c r="H4187" s="14" t="s">
        <v>375</v>
      </c>
      <c r="I4187" s="15"/>
      <c r="J4187" s="16"/>
      <c r="K4187" s="17"/>
      <c r="L4187" s="16"/>
      <c r="M4187" s="17"/>
      <c r="N4187" s="18"/>
      <c r="O4187" s="19"/>
      <c r="P4187" s="185"/>
      <c r="Q4187" s="185"/>
    </row>
    <row r="4188" spans="1:17" ht="45" hidden="1" outlineLevel="1">
      <c r="A4188" s="2">
        <v>9</v>
      </c>
      <c r="B4188" s="2">
        <v>12</v>
      </c>
      <c r="C4188" s="2">
        <v>3</v>
      </c>
      <c r="D4188" s="2">
        <v>1</v>
      </c>
      <c r="E4188" s="66" t="str">
        <f>CONCATENATE(A4188,".",B4188,".",C4188,".",D4188)</f>
        <v>9.12.3.1</v>
      </c>
      <c r="F4188" s="21" t="s">
        <v>4881</v>
      </c>
      <c r="G4188" s="22">
        <v>86931</v>
      </c>
      <c r="H4188" s="23" t="s">
        <v>4882</v>
      </c>
      <c r="I4188" s="24" t="s">
        <v>36</v>
      </c>
      <c r="J4188" s="32"/>
      <c r="K4188" s="10"/>
      <c r="L4188" s="32"/>
      <c r="M4188" s="10"/>
      <c r="N4188" s="33"/>
      <c r="O4188" s="11">
        <f>SUM(O4189)</f>
        <v>1</v>
      </c>
      <c r="P4188" s="185"/>
      <c r="Q4188" s="185"/>
    </row>
    <row r="4189" spans="1:17" hidden="1" outlineLevel="2">
      <c r="E4189" s="29"/>
      <c r="F4189" s="21"/>
      <c r="G4189" s="34"/>
      <c r="H4189" s="30"/>
      <c r="I4189" s="35"/>
      <c r="J4189" s="41"/>
      <c r="K4189" s="10"/>
      <c r="L4189" s="32"/>
      <c r="M4189" s="10"/>
      <c r="N4189" s="33">
        <v>1</v>
      </c>
      <c r="O4189" s="31">
        <f>ROUND(PRODUCT(J4189:N4189),2)</f>
        <v>1</v>
      </c>
      <c r="P4189" s="185"/>
    </row>
    <row r="4190" spans="1:17" hidden="1" outlineLevel="1">
      <c r="A4190" s="2">
        <v>9</v>
      </c>
      <c r="B4190" s="2">
        <v>12</v>
      </c>
      <c r="C4190" s="2">
        <v>3</v>
      </c>
      <c r="D4190" s="2">
        <f>D4188+1</f>
        <v>2</v>
      </c>
      <c r="E4190" s="20" t="str">
        <f>CONCATENATE(A4190,".",B4190,".",C4190,".",D4190)</f>
        <v>9.12.3.2</v>
      </c>
      <c r="F4190" s="21" t="s">
        <v>4883</v>
      </c>
      <c r="G4190" s="22" t="s">
        <v>383</v>
      </c>
      <c r="H4190" s="23" t="s">
        <v>384</v>
      </c>
      <c r="I4190" s="24" t="s">
        <v>36</v>
      </c>
      <c r="J4190" s="32"/>
      <c r="K4190" s="10"/>
      <c r="L4190" s="32"/>
      <c r="M4190" s="10"/>
      <c r="N4190" s="33"/>
      <c r="O4190" s="11">
        <f>SUM(O4191)</f>
        <v>1</v>
      </c>
      <c r="P4190" s="185"/>
      <c r="Q4190" s="185"/>
    </row>
    <row r="4191" spans="1:17" hidden="1" outlineLevel="2">
      <c r="E4191" s="29"/>
      <c r="F4191" s="21"/>
      <c r="G4191" s="34"/>
      <c r="H4191" s="30"/>
      <c r="I4191" s="35"/>
      <c r="J4191" s="41"/>
      <c r="K4191" s="10"/>
      <c r="L4191" s="32"/>
      <c r="M4191" s="10"/>
      <c r="N4191" s="33">
        <v>1</v>
      </c>
      <c r="O4191" s="31">
        <f>ROUND(PRODUCT(J4191:N4191),2)</f>
        <v>1</v>
      </c>
      <c r="P4191" s="185"/>
    </row>
    <row r="4192" spans="1:17" ht="30" hidden="1" outlineLevel="1">
      <c r="A4192" s="2">
        <v>9</v>
      </c>
      <c r="B4192" s="2">
        <v>12</v>
      </c>
      <c r="C4192" s="2">
        <v>3</v>
      </c>
      <c r="D4192" s="2">
        <f>D4190+1</f>
        <v>3</v>
      </c>
      <c r="E4192" s="66" t="str">
        <f>CONCATENATE(A4192,".",B4192,".",C4192,".",D4192)</f>
        <v>9.12.3.3</v>
      </c>
      <c r="F4192" s="21" t="s">
        <v>4884</v>
      </c>
      <c r="G4192" s="22">
        <v>86915</v>
      </c>
      <c r="H4192" s="23" t="s">
        <v>405</v>
      </c>
      <c r="I4192" s="24" t="s">
        <v>36</v>
      </c>
      <c r="J4192" s="32"/>
      <c r="K4192" s="10"/>
      <c r="L4192" s="32"/>
      <c r="M4192" s="10"/>
      <c r="N4192" s="33"/>
      <c r="O4192" s="11">
        <f>SUM(O4193)</f>
        <v>1</v>
      </c>
      <c r="P4192" s="185"/>
      <c r="Q4192" s="185"/>
    </row>
    <row r="4193" spans="1:17" hidden="1" outlineLevel="2">
      <c r="E4193" s="29"/>
      <c r="F4193" s="21"/>
      <c r="G4193" s="34"/>
      <c r="H4193" s="30"/>
      <c r="I4193" s="35"/>
      <c r="J4193" s="41"/>
      <c r="K4193" s="10"/>
      <c r="L4193" s="32"/>
      <c r="M4193" s="10"/>
      <c r="N4193" s="33">
        <v>1</v>
      </c>
      <c r="O4193" s="31">
        <f>ROUND(PRODUCT(J4193:N4193),2)</f>
        <v>1</v>
      </c>
      <c r="P4193" s="185"/>
    </row>
    <row r="4194" spans="1:17" ht="45" hidden="1" outlineLevel="1">
      <c r="A4194" s="2">
        <v>9</v>
      </c>
      <c r="B4194" s="2">
        <v>12</v>
      </c>
      <c r="C4194" s="2">
        <v>3</v>
      </c>
      <c r="D4194" s="2">
        <f>D4192+1</f>
        <v>4</v>
      </c>
      <c r="E4194" s="20" t="str">
        <f>CONCATENATE(A4194,".",B4194,".",C4194,".",D4194)</f>
        <v>9.12.3.4</v>
      </c>
      <c r="F4194" s="21" t="s">
        <v>4885</v>
      </c>
      <c r="G4194" s="22">
        <v>410</v>
      </c>
      <c r="H4194" s="23" t="s">
        <v>3317</v>
      </c>
      <c r="I4194" s="24" t="s">
        <v>36</v>
      </c>
      <c r="J4194" s="32"/>
      <c r="K4194" s="10"/>
      <c r="L4194" s="32"/>
      <c r="M4194" s="10"/>
      <c r="N4194" s="33"/>
      <c r="O4194" s="11">
        <f>SUM(O4195)</f>
        <v>1</v>
      </c>
      <c r="P4194" s="185"/>
      <c r="Q4194" s="185"/>
    </row>
    <row r="4195" spans="1:17" hidden="1" outlineLevel="2">
      <c r="E4195" s="29"/>
      <c r="F4195" s="21"/>
      <c r="G4195" s="34"/>
      <c r="H4195" s="30"/>
      <c r="I4195" s="35"/>
      <c r="J4195" s="41"/>
      <c r="K4195" s="10"/>
      <c r="L4195" s="32"/>
      <c r="M4195" s="10"/>
      <c r="N4195" s="33">
        <v>1</v>
      </c>
      <c r="O4195" s="31">
        <f>ROUND(PRODUCT(J4195:N4195),2)</f>
        <v>1</v>
      </c>
      <c r="P4195" s="185"/>
    </row>
    <row r="4196" spans="1:17" ht="30" hidden="1" outlineLevel="1">
      <c r="A4196" s="2">
        <v>9</v>
      </c>
      <c r="B4196" s="2">
        <v>12</v>
      </c>
      <c r="C4196" s="2">
        <v>3</v>
      </c>
      <c r="D4196" s="2">
        <f>D4194+1</f>
        <v>5</v>
      </c>
      <c r="E4196" s="20" t="str">
        <f>CONCATENATE(A4196,".",B4196,".",C4196,".",D4196)</f>
        <v>9.12.3.5</v>
      </c>
      <c r="F4196" s="21" t="s">
        <v>4886</v>
      </c>
      <c r="G4196" s="22" t="s">
        <v>386</v>
      </c>
      <c r="H4196" s="23" t="s">
        <v>4887</v>
      </c>
      <c r="I4196" s="24" t="s">
        <v>36</v>
      </c>
      <c r="J4196" s="32"/>
      <c r="K4196" s="10"/>
      <c r="L4196" s="32"/>
      <c r="M4196" s="10"/>
      <c r="N4196" s="33"/>
      <c r="O4196" s="11">
        <f>SUM(O4197)</f>
        <v>1</v>
      </c>
      <c r="P4196" s="185"/>
      <c r="Q4196" s="185"/>
    </row>
    <row r="4197" spans="1:17" hidden="1" outlineLevel="2">
      <c r="E4197" s="29"/>
      <c r="F4197" s="21"/>
      <c r="G4197" s="34"/>
      <c r="H4197" s="30"/>
      <c r="I4197" s="35"/>
      <c r="J4197" s="41"/>
      <c r="K4197" s="10"/>
      <c r="L4197" s="32"/>
      <c r="M4197" s="10"/>
      <c r="N4197" s="33">
        <v>1</v>
      </c>
      <c r="O4197" s="31">
        <f>ROUND(PRODUCT(J4197:N4197),2)</f>
        <v>1</v>
      </c>
      <c r="P4197" s="185"/>
    </row>
    <row r="4198" spans="1:17" ht="30" hidden="1" outlineLevel="1">
      <c r="A4198" s="2">
        <v>9</v>
      </c>
      <c r="B4198" s="2">
        <v>12</v>
      </c>
      <c r="C4198" s="2">
        <v>3</v>
      </c>
      <c r="D4198" s="2">
        <f>D4196+1</f>
        <v>6</v>
      </c>
      <c r="E4198" s="20" t="str">
        <f>CONCATENATE(A4198,".",B4198,".",C4198,".",D4198)</f>
        <v>9.12.3.6</v>
      </c>
      <c r="F4198" s="21" t="s">
        <v>4888</v>
      </c>
      <c r="G4198" s="22">
        <v>376</v>
      </c>
      <c r="H4198" s="23" t="s">
        <v>435</v>
      </c>
      <c r="I4198" s="24" t="s">
        <v>36</v>
      </c>
      <c r="J4198" s="32"/>
      <c r="K4198" s="10"/>
      <c r="L4198" s="32"/>
      <c r="M4198" s="10"/>
      <c r="N4198" s="33"/>
      <c r="O4198" s="11">
        <f>SUM(O4199)</f>
        <v>1</v>
      </c>
      <c r="P4198" s="185"/>
      <c r="Q4198" s="185"/>
    </row>
    <row r="4199" spans="1:17" hidden="1" outlineLevel="2">
      <c r="E4199" s="29"/>
      <c r="F4199" s="21"/>
      <c r="G4199" s="34"/>
      <c r="H4199" s="30"/>
      <c r="I4199" s="35"/>
      <c r="J4199" s="41"/>
      <c r="K4199" s="10"/>
      <c r="L4199" s="32"/>
      <c r="M4199" s="10"/>
      <c r="N4199" s="33">
        <v>1</v>
      </c>
      <c r="O4199" s="31">
        <f>ROUND(PRODUCT(J4199:N4199),2)</f>
        <v>1</v>
      </c>
      <c r="P4199" s="185"/>
    </row>
    <row r="4200" spans="1:17" ht="30" hidden="1" outlineLevel="1">
      <c r="A4200" s="2">
        <v>9</v>
      </c>
      <c r="B4200" s="2">
        <v>12</v>
      </c>
      <c r="C4200" s="2">
        <v>3</v>
      </c>
      <c r="D4200" s="2">
        <f>D4198+1</f>
        <v>7</v>
      </c>
      <c r="E4200" s="20" t="str">
        <f>CONCATENATE(A4200,".",B4200,".",C4200,".",D4200)</f>
        <v>9.12.3.7</v>
      </c>
      <c r="F4200" s="21" t="s">
        <v>4889</v>
      </c>
      <c r="G4200" s="22">
        <v>377</v>
      </c>
      <c r="H4200" s="23" t="s">
        <v>3339</v>
      </c>
      <c r="I4200" s="24" t="s">
        <v>36</v>
      </c>
      <c r="J4200" s="32"/>
      <c r="K4200" s="10"/>
      <c r="L4200" s="32"/>
      <c r="M4200" s="10"/>
      <c r="N4200" s="33"/>
      <c r="O4200" s="11">
        <f>SUM(O4201)</f>
        <v>1</v>
      </c>
      <c r="P4200" s="185"/>
    </row>
    <row r="4201" spans="1:17" hidden="1" outlineLevel="2">
      <c r="E4201" s="29"/>
      <c r="F4201" s="21"/>
      <c r="G4201" s="34"/>
      <c r="H4201" s="30"/>
      <c r="I4201" s="35"/>
      <c r="J4201" s="41"/>
      <c r="K4201" s="10"/>
      <c r="L4201" s="32"/>
      <c r="M4201" s="10"/>
      <c r="N4201" s="33">
        <v>1</v>
      </c>
      <c r="O4201" s="31">
        <f>ROUND(PRODUCT(J4201:N4201),2)</f>
        <v>1</v>
      </c>
      <c r="P4201" s="185"/>
    </row>
    <row r="4202" spans="1:17" hidden="1" outlineLevel="1">
      <c r="A4202" s="2">
        <v>8</v>
      </c>
      <c r="B4202" s="2">
        <v>12</v>
      </c>
      <c r="C4202" s="2">
        <v>3</v>
      </c>
      <c r="D4202" s="2">
        <f>D4200+1</f>
        <v>8</v>
      </c>
      <c r="E4202" s="20" t="str">
        <f>CONCATENATE(A4202,".",B4202,".",C4202,".",D4202)</f>
        <v>8.12.3.8</v>
      </c>
      <c r="F4202" s="21" t="s">
        <v>4890</v>
      </c>
      <c r="G4202" s="22">
        <v>286</v>
      </c>
      <c r="H4202" s="23" t="s">
        <v>3336</v>
      </c>
      <c r="I4202" s="24" t="s">
        <v>2798</v>
      </c>
      <c r="J4202" s="32"/>
      <c r="K4202" s="10"/>
      <c r="L4202" s="32"/>
      <c r="M4202" s="10"/>
      <c r="N4202" s="33"/>
      <c r="O4202" s="11">
        <f>SUM(O4203)</f>
        <v>1</v>
      </c>
      <c r="P4202" s="185"/>
    </row>
    <row r="4203" spans="1:17" hidden="1" outlineLevel="2">
      <c r="E4203" s="29"/>
      <c r="F4203" s="21"/>
      <c r="G4203" s="34"/>
      <c r="H4203" s="30"/>
      <c r="I4203" s="35"/>
      <c r="J4203" s="41"/>
      <c r="K4203" s="10"/>
      <c r="L4203" s="32"/>
      <c r="M4203" s="10"/>
      <c r="N4203" s="33">
        <v>1</v>
      </c>
      <c r="O4203" s="31">
        <f>ROUND(PRODUCT(J4203:N4203),2)</f>
        <v>1</v>
      </c>
      <c r="P4203" s="185"/>
    </row>
    <row r="4204" spans="1:17" hidden="1" outlineLevel="1">
      <c r="A4204" s="2">
        <v>9</v>
      </c>
      <c r="B4204" s="2">
        <v>12</v>
      </c>
      <c r="C4204" s="2">
        <v>3</v>
      </c>
      <c r="D4204" s="2">
        <f>D4202+1</f>
        <v>9</v>
      </c>
      <c r="E4204" s="20" t="str">
        <f>CONCATENATE(A4204,".",B4204,".",C4204,".",D4204)</f>
        <v>9.12.3.9</v>
      </c>
      <c r="F4204" s="21" t="s">
        <v>4891</v>
      </c>
      <c r="G4204" s="22">
        <v>95547</v>
      </c>
      <c r="H4204" s="23" t="s">
        <v>3330</v>
      </c>
      <c r="I4204" s="24" t="s">
        <v>36</v>
      </c>
      <c r="J4204" s="32"/>
      <c r="K4204" s="10"/>
      <c r="L4204" s="32"/>
      <c r="M4204" s="10"/>
      <c r="N4204" s="33"/>
      <c r="O4204" s="11">
        <f>SUM(O4205)</f>
        <v>1</v>
      </c>
      <c r="P4204" s="185"/>
    </row>
    <row r="4205" spans="1:17" hidden="1" outlineLevel="2">
      <c r="E4205" s="29"/>
      <c r="F4205" s="21"/>
      <c r="G4205" s="34"/>
      <c r="H4205" s="30"/>
      <c r="I4205" s="35"/>
      <c r="J4205" s="41"/>
      <c r="K4205" s="10"/>
      <c r="L4205" s="32"/>
      <c r="M4205" s="10"/>
      <c r="N4205" s="33">
        <v>1</v>
      </c>
      <c r="O4205" s="31">
        <f>ROUND(PRODUCT(J4205:N4205),2)</f>
        <v>1</v>
      </c>
      <c r="P4205" s="185"/>
    </row>
    <row r="4206" spans="1:17" hidden="1" outlineLevel="1">
      <c r="A4206" s="2">
        <v>9</v>
      </c>
      <c r="B4206" s="2">
        <v>12</v>
      </c>
      <c r="C4206" s="2">
        <v>3</v>
      </c>
      <c r="D4206" s="2">
        <f>D4204+1</f>
        <v>10</v>
      </c>
      <c r="E4206" s="20" t="str">
        <f>CONCATENATE(A4206,".",B4206,".",C4206,".",D4206)</f>
        <v>9.12.3.10</v>
      </c>
      <c r="F4206" s="21" t="s">
        <v>4892</v>
      </c>
      <c r="G4206" s="22">
        <v>100705</v>
      </c>
      <c r="H4206" s="23" t="s">
        <v>426</v>
      </c>
      <c r="I4206" s="24" t="s">
        <v>36</v>
      </c>
      <c r="J4206" s="32"/>
      <c r="K4206" s="10"/>
      <c r="L4206" s="32"/>
      <c r="M4206" s="10"/>
      <c r="N4206" s="33"/>
      <c r="O4206" s="11">
        <f>SUM(O4207)</f>
        <v>1</v>
      </c>
      <c r="P4206" s="185"/>
    </row>
    <row r="4207" spans="1:17" hidden="1" outlineLevel="2">
      <c r="E4207" s="29"/>
      <c r="F4207" s="21"/>
      <c r="G4207" s="34"/>
      <c r="H4207" s="30"/>
      <c r="I4207" s="35"/>
      <c r="J4207" s="41"/>
      <c r="K4207" s="10"/>
      <c r="L4207" s="32"/>
      <c r="M4207" s="10"/>
      <c r="N4207" s="33">
        <v>1</v>
      </c>
      <c r="O4207" s="31">
        <f>ROUND(PRODUCT(J4207:N4207),2)</f>
        <v>1</v>
      </c>
      <c r="P4207" s="185"/>
    </row>
    <row r="4208" spans="1:17" hidden="1" outlineLevel="1">
      <c r="A4208" s="2">
        <v>9</v>
      </c>
      <c r="B4208" s="2">
        <v>12</v>
      </c>
      <c r="C4208" s="2">
        <v>3</v>
      </c>
      <c r="D4208" s="2">
        <f>D4206+1</f>
        <v>11</v>
      </c>
      <c r="E4208" s="20" t="str">
        <f>CONCATENATE(A4208,".",B4208,".",C4208,".",D4208)</f>
        <v>9.12.3.11</v>
      </c>
      <c r="F4208" s="21" t="s">
        <v>4893</v>
      </c>
      <c r="G4208" s="22">
        <v>378</v>
      </c>
      <c r="H4208" s="23" t="s">
        <v>1611</v>
      </c>
      <c r="I4208" s="24" t="s">
        <v>36</v>
      </c>
      <c r="J4208" s="32"/>
      <c r="K4208" s="10"/>
      <c r="L4208" s="32"/>
      <c r="M4208" s="10"/>
      <c r="N4208" s="33"/>
      <c r="O4208" s="11">
        <f>SUM(O4209)</f>
        <v>1</v>
      </c>
      <c r="P4208" s="185"/>
    </row>
    <row r="4209" spans="1:17" hidden="1" outlineLevel="2">
      <c r="E4209" s="29"/>
      <c r="F4209" s="21"/>
      <c r="G4209" s="22"/>
      <c r="H4209" s="30"/>
      <c r="I4209" s="62"/>
      <c r="J4209" s="41"/>
      <c r="K4209" s="10"/>
      <c r="L4209" s="32"/>
      <c r="M4209" s="10"/>
      <c r="N4209" s="33">
        <v>1</v>
      </c>
      <c r="O4209" s="31">
        <f>ROUND(PRODUCT(J4209:N4209),2)</f>
        <v>1</v>
      </c>
      <c r="P4209" s="185"/>
    </row>
    <row r="4210" spans="1:17" hidden="1" outlineLevel="1">
      <c r="A4210" s="2">
        <v>9</v>
      </c>
      <c r="B4210" s="2">
        <v>12</v>
      </c>
      <c r="C4210" s="2">
        <v>3</v>
      </c>
      <c r="D4210" s="2">
        <f>D4208+1</f>
        <v>12</v>
      </c>
      <c r="E4210" s="20" t="str">
        <f>CONCATENATE(A4210,".",B4210,".",C4210,".",D4210)</f>
        <v>9.12.3.12</v>
      </c>
      <c r="F4210" s="21" t="s">
        <v>4894</v>
      </c>
      <c r="G4210" s="22">
        <v>379</v>
      </c>
      <c r="H4210" s="23" t="s">
        <v>453</v>
      </c>
      <c r="I4210" s="24" t="s">
        <v>36</v>
      </c>
      <c r="J4210" s="32"/>
      <c r="K4210" s="10"/>
      <c r="L4210" s="32"/>
      <c r="M4210" s="10"/>
      <c r="N4210" s="33"/>
      <c r="O4210" s="11">
        <f>SUM(O4211)</f>
        <v>1</v>
      </c>
      <c r="P4210" s="185"/>
    </row>
    <row r="4211" spans="1:17" hidden="1" outlineLevel="2">
      <c r="E4211" s="29"/>
      <c r="F4211" s="21"/>
      <c r="G4211" s="34"/>
      <c r="H4211" s="30"/>
      <c r="I4211" s="35"/>
      <c r="J4211" s="41"/>
      <c r="K4211" s="10"/>
      <c r="L4211" s="32"/>
      <c r="M4211" s="10"/>
      <c r="N4211" s="33">
        <v>1</v>
      </c>
      <c r="O4211" s="31">
        <f>ROUND(PRODUCT(J4211:N4211),2)</f>
        <v>1</v>
      </c>
      <c r="P4211" s="185"/>
    </row>
    <row r="4212" spans="1:17" collapsed="1">
      <c r="A4212" s="2">
        <v>9</v>
      </c>
      <c r="B4212" s="2">
        <v>12</v>
      </c>
      <c r="C4212" s="2">
        <v>4</v>
      </c>
      <c r="E4212" s="42" t="str">
        <f>CONCATENATE(A4212,".",B4212,".",C4212)</f>
        <v>9.12.4</v>
      </c>
      <c r="F4212" s="45" t="s">
        <v>4767</v>
      </c>
      <c r="G4212" s="13"/>
      <c r="H4212" s="14" t="s">
        <v>835</v>
      </c>
      <c r="I4212" s="15"/>
      <c r="J4212" s="16"/>
      <c r="K4212" s="17"/>
      <c r="L4212" s="16"/>
      <c r="M4212" s="17"/>
      <c r="N4212" s="18"/>
      <c r="O4212" s="19"/>
      <c r="P4212" s="185"/>
      <c r="Q4212" s="185"/>
    </row>
    <row r="4213" spans="1:17" ht="30" hidden="1" outlineLevel="1">
      <c r="A4213" s="2">
        <v>9</v>
      </c>
      <c r="B4213" s="2">
        <v>12</v>
      </c>
      <c r="C4213" s="2">
        <v>4</v>
      </c>
      <c r="D4213" s="2">
        <v>1</v>
      </c>
      <c r="E4213" s="20" t="str">
        <f>CONCATENATE(A4213,".",B4213,".",C4213,".",D4213)</f>
        <v>9.12.4.1</v>
      </c>
      <c r="F4213" s="21" t="s">
        <v>4895</v>
      </c>
      <c r="G4213" s="22">
        <v>89512</v>
      </c>
      <c r="H4213" s="23" t="s">
        <v>838</v>
      </c>
      <c r="I4213" s="24" t="s">
        <v>144</v>
      </c>
      <c r="J4213" s="32"/>
      <c r="K4213" s="10"/>
      <c r="L4213" s="32"/>
      <c r="M4213" s="10"/>
      <c r="N4213" s="33"/>
      <c r="O4213" s="11">
        <f>SUM(O4214)</f>
        <v>13</v>
      </c>
      <c r="P4213" s="185"/>
    </row>
    <row r="4214" spans="1:17" hidden="1" outlineLevel="2">
      <c r="E4214" s="59"/>
      <c r="F4214" s="60"/>
      <c r="G4214" s="34"/>
      <c r="H4214" s="30"/>
      <c r="I4214" s="35"/>
      <c r="J4214" s="41"/>
      <c r="K4214" s="10"/>
      <c r="L4214" s="32"/>
      <c r="M4214" s="10"/>
      <c r="N4214" s="33">
        <f>6.5+6.5</f>
        <v>13</v>
      </c>
      <c r="O4214" s="31">
        <f>ROUND(PRODUCT(J4214:N4214),2)</f>
        <v>13</v>
      </c>
      <c r="P4214" s="185"/>
    </row>
    <row r="4215" spans="1:17" ht="30" hidden="1" outlineLevel="1">
      <c r="A4215" s="2">
        <v>9</v>
      </c>
      <c r="B4215" s="2">
        <v>12</v>
      </c>
      <c r="C4215" s="2">
        <v>4</v>
      </c>
      <c r="D4215" s="2">
        <f>D4213+1</f>
        <v>2</v>
      </c>
      <c r="E4215" s="20" t="str">
        <f>CONCATENATE(A4215,".",B4215,".",C4215,".",D4215)</f>
        <v>9.12.4.2</v>
      </c>
      <c r="F4215" s="21" t="s">
        <v>4896</v>
      </c>
      <c r="G4215" s="22">
        <v>104166</v>
      </c>
      <c r="H4215" s="23" t="s">
        <v>841</v>
      </c>
      <c r="I4215" s="24" t="s">
        <v>144</v>
      </c>
      <c r="J4215" s="32"/>
      <c r="K4215" s="10"/>
      <c r="L4215" s="32"/>
      <c r="M4215" s="10"/>
      <c r="N4215" s="33"/>
      <c r="O4215" s="11">
        <f>SUM(O4216)</f>
        <v>0.64</v>
      </c>
      <c r="P4215" s="185"/>
    </row>
    <row r="4216" spans="1:17" hidden="1" outlineLevel="2">
      <c r="E4216" s="59"/>
      <c r="F4216" s="60"/>
      <c r="G4216" s="34"/>
      <c r="H4216" s="30"/>
      <c r="I4216" s="35"/>
      <c r="J4216" s="41"/>
      <c r="K4216" s="10"/>
      <c r="L4216" s="32"/>
      <c r="M4216" s="10"/>
      <c r="N4216" s="33">
        <f>0.32+0.32</f>
        <v>0.64</v>
      </c>
      <c r="O4216" s="31">
        <f>ROUND(PRODUCT(J4216:N4216),2)</f>
        <v>0.64</v>
      </c>
      <c r="P4216" s="185"/>
    </row>
    <row r="4217" spans="1:17" hidden="1" outlineLevel="1">
      <c r="A4217" s="2">
        <v>9</v>
      </c>
      <c r="B4217" s="2">
        <v>12</v>
      </c>
      <c r="C4217" s="2">
        <v>4</v>
      </c>
      <c r="D4217" s="2">
        <f>D4215+1</f>
        <v>3</v>
      </c>
      <c r="E4217" s="20" t="str">
        <f>CONCATENATE(A4217,".",B4217,".",C4217,".",D4217)</f>
        <v>9.12.4.3</v>
      </c>
      <c r="F4217" s="21" t="s">
        <v>4897</v>
      </c>
      <c r="G4217" s="22">
        <v>453</v>
      </c>
      <c r="H4217" s="23" t="s">
        <v>865</v>
      </c>
      <c r="I4217" s="24" t="s">
        <v>36</v>
      </c>
      <c r="J4217" s="32"/>
      <c r="K4217" s="10"/>
      <c r="L4217" s="32"/>
      <c r="M4217" s="10"/>
      <c r="N4217" s="33"/>
      <c r="O4217" s="11">
        <f>SUM(O4218)</f>
        <v>2</v>
      </c>
      <c r="P4217" s="185"/>
    </row>
    <row r="4218" spans="1:17" hidden="1" outlineLevel="2">
      <c r="E4218" s="59"/>
      <c r="F4218" s="60"/>
      <c r="G4218" s="34"/>
      <c r="H4218" s="30"/>
      <c r="I4218" s="35"/>
      <c r="J4218" s="41"/>
      <c r="K4218" s="10"/>
      <c r="L4218" s="32"/>
      <c r="M4218" s="10"/>
      <c r="N4218" s="33">
        <v>2</v>
      </c>
      <c r="O4218" s="31">
        <f>ROUND(PRODUCT(J4218:N4218),2)</f>
        <v>2</v>
      </c>
      <c r="P4218" s="185"/>
    </row>
    <row r="4219" spans="1:17" ht="30" hidden="1" outlineLevel="1">
      <c r="A4219" s="2">
        <v>9</v>
      </c>
      <c r="B4219" s="2">
        <v>12</v>
      </c>
      <c r="C4219" s="2">
        <v>4</v>
      </c>
      <c r="D4219" s="2">
        <f>D4217+1</f>
        <v>4</v>
      </c>
      <c r="E4219" s="20" t="str">
        <f>CONCATENATE(A4219,".",B4219,".",C4219,".",D4219)</f>
        <v>9.12.4.4</v>
      </c>
      <c r="F4219" s="21" t="s">
        <v>4898</v>
      </c>
      <c r="G4219" s="22">
        <v>89531</v>
      </c>
      <c r="H4219" s="23" t="s">
        <v>1158</v>
      </c>
      <c r="I4219" s="24" t="s">
        <v>36</v>
      </c>
      <c r="J4219" s="32"/>
      <c r="K4219" s="10"/>
      <c r="L4219" s="32"/>
      <c r="M4219" s="10"/>
      <c r="N4219" s="33"/>
      <c r="O4219" s="11">
        <f>SUM(O4220)</f>
        <v>4</v>
      </c>
      <c r="P4219" s="185"/>
    </row>
    <row r="4220" spans="1:17" hidden="1" outlineLevel="2">
      <c r="E4220" s="59"/>
      <c r="F4220" s="60"/>
      <c r="G4220" s="34"/>
      <c r="H4220" s="30"/>
      <c r="I4220" s="35"/>
      <c r="J4220" s="41"/>
      <c r="K4220" s="10"/>
      <c r="L4220" s="32"/>
      <c r="M4220" s="10"/>
      <c r="N4220" s="33">
        <v>4</v>
      </c>
      <c r="O4220" s="31">
        <f>ROUND(PRODUCT(J4220:N4220),2)</f>
        <v>4</v>
      </c>
      <c r="P4220" s="185"/>
    </row>
    <row r="4221" spans="1:17" ht="45" hidden="1" outlineLevel="2">
      <c r="E4221" s="59"/>
      <c r="F4221" s="21" t="s">
        <v>4899</v>
      </c>
      <c r="G4221" s="22">
        <v>89587</v>
      </c>
      <c r="H4221" s="23" t="s">
        <v>847</v>
      </c>
      <c r="I4221" s="24" t="s">
        <v>36</v>
      </c>
      <c r="J4221" s="32"/>
      <c r="K4221" s="10"/>
      <c r="L4221" s="32"/>
      <c r="M4221" s="10"/>
      <c r="N4221" s="33"/>
      <c r="O4221" s="11">
        <f>SUM(O4222)</f>
        <v>2</v>
      </c>
      <c r="P4221" s="185"/>
    </row>
    <row r="4222" spans="1:17" hidden="1" outlineLevel="2">
      <c r="E4222" s="59"/>
      <c r="F4222" s="60"/>
      <c r="G4222" s="34"/>
      <c r="H4222" s="30"/>
      <c r="I4222" s="35"/>
      <c r="J4222" s="41"/>
      <c r="K4222" s="10"/>
      <c r="L4222" s="32"/>
      <c r="M4222" s="10"/>
      <c r="N4222" s="33">
        <v>2</v>
      </c>
      <c r="O4222" s="31">
        <f>ROUND(PRODUCT(J4222:N4222),2)</f>
        <v>2</v>
      </c>
      <c r="P4222" s="185"/>
    </row>
    <row r="4223" spans="1:17" ht="30" hidden="1" outlineLevel="2">
      <c r="E4223" s="59"/>
      <c r="F4223" s="21" t="s">
        <v>4900</v>
      </c>
      <c r="G4223" s="22">
        <v>1127</v>
      </c>
      <c r="H4223" s="23" t="s">
        <v>856</v>
      </c>
      <c r="I4223" s="24" t="s">
        <v>36</v>
      </c>
      <c r="J4223" s="32"/>
      <c r="K4223" s="10"/>
      <c r="L4223" s="32"/>
      <c r="M4223" s="10"/>
      <c r="N4223" s="33"/>
      <c r="O4223" s="11">
        <f>SUM(O4224)</f>
        <v>2</v>
      </c>
      <c r="P4223" s="185"/>
    </row>
    <row r="4224" spans="1:17" hidden="1" outlineLevel="2">
      <c r="E4224" s="59"/>
      <c r="F4224" s="60"/>
      <c r="G4224" s="34"/>
      <c r="H4224" s="30"/>
      <c r="I4224" s="35"/>
      <c r="J4224" s="41"/>
      <c r="K4224" s="10"/>
      <c r="L4224" s="32"/>
      <c r="M4224" s="10"/>
      <c r="N4224" s="33">
        <v>2</v>
      </c>
      <c r="O4224" s="31">
        <f>ROUND(PRODUCT(J4224:N4224),2)</f>
        <v>2</v>
      </c>
      <c r="P4224" s="185"/>
    </row>
    <row r="4225" spans="1:16" collapsed="1">
      <c r="A4225" s="2">
        <v>9</v>
      </c>
      <c r="B4225" s="2">
        <v>13</v>
      </c>
      <c r="E4225" s="42"/>
      <c r="F4225" s="43" t="s">
        <v>4901</v>
      </c>
      <c r="G4225" s="13"/>
      <c r="H4225" s="14" t="s">
        <v>2022</v>
      </c>
      <c r="I4225" s="15"/>
      <c r="J4225" s="16"/>
      <c r="K4225" s="17"/>
      <c r="L4225" s="16"/>
      <c r="M4225" s="17"/>
      <c r="N4225" s="18"/>
      <c r="O4225" s="19"/>
      <c r="P4225" s="185"/>
    </row>
    <row r="4226" spans="1:16" ht="30" hidden="1" outlineLevel="1">
      <c r="A4226" s="2">
        <v>9</v>
      </c>
      <c r="B4226" s="2">
        <v>13</v>
      </c>
      <c r="C4226" s="2">
        <v>1</v>
      </c>
      <c r="E4226" s="20" t="str">
        <f>CONCATENATE(A4226,".",B4226,".",C4226)</f>
        <v>9.13.1</v>
      </c>
      <c r="F4226" s="21" t="s">
        <v>4902</v>
      </c>
      <c r="G4226" s="22" t="s">
        <v>2027</v>
      </c>
      <c r="H4226" s="23" t="s">
        <v>2028</v>
      </c>
      <c r="I4226" s="24" t="s">
        <v>36</v>
      </c>
      <c r="J4226" s="32"/>
      <c r="K4226" s="10"/>
      <c r="L4226" s="32"/>
      <c r="M4226" s="10"/>
      <c r="N4226" s="33"/>
      <c r="O4226" s="11">
        <f>SUM(O4227)</f>
        <v>5</v>
      </c>
      <c r="P4226" s="185"/>
    </row>
    <row r="4227" spans="1:16" hidden="1" outlineLevel="1">
      <c r="E4227" s="59"/>
      <c r="F4227" s="60"/>
      <c r="G4227" s="34"/>
      <c r="H4227" s="30"/>
      <c r="I4227" s="35"/>
      <c r="J4227" s="41"/>
      <c r="K4227" s="10"/>
      <c r="L4227" s="32"/>
      <c r="M4227" s="10"/>
      <c r="N4227" s="33">
        <v>5</v>
      </c>
      <c r="O4227" s="31">
        <f>ROUND(PRODUCT(J4227:N4227),2)</f>
        <v>5</v>
      </c>
      <c r="P4227" s="185"/>
    </row>
    <row r="4228" spans="1:16" ht="30" hidden="1" outlineLevel="1">
      <c r="A4228" s="2">
        <v>9</v>
      </c>
      <c r="B4228" s="2">
        <v>13</v>
      </c>
      <c r="C4228" s="2">
        <f>C4226+1</f>
        <v>2</v>
      </c>
      <c r="E4228" s="20" t="str">
        <f>CONCATENATE(A4228,".",B4228,".",C4228)</f>
        <v>9.13.2</v>
      </c>
      <c r="F4228" s="21" t="s">
        <v>4903</v>
      </c>
      <c r="G4228" s="22">
        <v>97599</v>
      </c>
      <c r="H4228" s="23" t="s">
        <v>2031</v>
      </c>
      <c r="I4228" s="24" t="s">
        <v>36</v>
      </c>
      <c r="J4228" s="32"/>
      <c r="K4228" s="10"/>
      <c r="L4228" s="32"/>
      <c r="M4228" s="10"/>
      <c r="N4228" s="33"/>
      <c r="O4228" s="11">
        <f>SUM(O4229)</f>
        <v>3</v>
      </c>
      <c r="P4228" s="185"/>
    </row>
    <row r="4229" spans="1:16" hidden="1" outlineLevel="1">
      <c r="E4229" s="59"/>
      <c r="F4229" s="60"/>
      <c r="G4229" s="34"/>
      <c r="H4229" s="30"/>
      <c r="I4229" s="35"/>
      <c r="J4229" s="41"/>
      <c r="K4229" s="10"/>
      <c r="L4229" s="32"/>
      <c r="M4229" s="10"/>
      <c r="N4229" s="33">
        <v>3</v>
      </c>
      <c r="O4229" s="31">
        <f>ROUND(PRODUCT(J4229:N4229),2)</f>
        <v>3</v>
      </c>
      <c r="P4229" s="185"/>
    </row>
    <row r="4230" spans="1:16" hidden="1" outlineLevel="1">
      <c r="A4230" s="2">
        <v>9</v>
      </c>
      <c r="B4230" s="2">
        <v>13</v>
      </c>
      <c r="C4230" s="2">
        <f>1+C4228</f>
        <v>3</v>
      </c>
      <c r="E4230" s="20" t="str">
        <f>CONCATENATE(A4230,".",B4230,".",C4230)</f>
        <v>9.13.3</v>
      </c>
      <c r="F4230" s="21" t="s">
        <v>4904</v>
      </c>
      <c r="G4230" s="22">
        <v>663</v>
      </c>
      <c r="H4230" s="23" t="s">
        <v>2173</v>
      </c>
      <c r="I4230" s="24" t="s">
        <v>36</v>
      </c>
      <c r="J4230" s="32"/>
      <c r="K4230" s="10"/>
      <c r="L4230" s="32"/>
      <c r="M4230" s="10"/>
      <c r="N4230" s="33"/>
      <c r="O4230" s="11">
        <f>SUM(O4231)</f>
        <v>1</v>
      </c>
      <c r="P4230" s="185"/>
    </row>
    <row r="4231" spans="1:16" hidden="1" outlineLevel="1">
      <c r="E4231" s="59"/>
      <c r="F4231" s="60"/>
      <c r="G4231" s="34"/>
      <c r="H4231" s="30"/>
      <c r="I4231" s="35"/>
      <c r="J4231" s="41"/>
      <c r="K4231" s="10"/>
      <c r="L4231" s="32"/>
      <c r="M4231" s="10"/>
      <c r="N4231" s="33">
        <v>1</v>
      </c>
      <c r="O4231" s="31">
        <f>ROUND(PRODUCT(J4231:N4231),2)</f>
        <v>1</v>
      </c>
      <c r="P4231" s="185"/>
    </row>
    <row r="4232" spans="1:16" hidden="1" outlineLevel="1">
      <c r="A4232" s="2">
        <v>9</v>
      </c>
      <c r="B4232" s="2">
        <v>13</v>
      </c>
      <c r="C4232" s="2">
        <f>C4230+1</f>
        <v>4</v>
      </c>
      <c r="E4232" s="20" t="str">
        <f>CONCATENATE(A4232,".",B4232,".",C4232)</f>
        <v>9.13.4</v>
      </c>
      <c r="F4232" s="21" t="s">
        <v>4905</v>
      </c>
      <c r="G4232" s="22">
        <v>1137</v>
      </c>
      <c r="H4232" s="23" t="s">
        <v>2040</v>
      </c>
      <c r="I4232" s="24" t="s">
        <v>144</v>
      </c>
      <c r="J4232" s="32"/>
      <c r="K4232" s="10"/>
      <c r="L4232" s="32"/>
      <c r="M4232" s="10"/>
      <c r="N4232" s="33"/>
      <c r="O4232" s="11">
        <f>SUM(O4233)</f>
        <v>15.95</v>
      </c>
      <c r="P4232" s="185"/>
    </row>
    <row r="4233" spans="1:16" hidden="1" outlineLevel="1">
      <c r="E4233" s="59"/>
      <c r="F4233" s="60"/>
      <c r="G4233" s="22"/>
      <c r="H4233" s="23"/>
      <c r="I4233" s="24"/>
      <c r="J4233" s="41"/>
      <c r="K4233" s="10"/>
      <c r="L4233" s="32"/>
      <c r="M4233" s="10"/>
      <c r="N4233" s="33">
        <v>15.95</v>
      </c>
      <c r="O4233" s="31">
        <f>ROUND(PRODUCT(J4233:N4233),2)</f>
        <v>15.95</v>
      </c>
      <c r="P4233" s="185"/>
    </row>
    <row r="4234" spans="1:16" ht="30" hidden="1" outlineLevel="1">
      <c r="A4234" s="2">
        <v>9</v>
      </c>
      <c r="B4234" s="2">
        <v>13</v>
      </c>
      <c r="C4234" s="2">
        <f>C4232+1</f>
        <v>5</v>
      </c>
      <c r="E4234" s="20" t="str">
        <f>CONCATENATE(A4234,".",B4234,".",C4234)</f>
        <v>9.13.5</v>
      </c>
      <c r="F4234" s="21" t="s">
        <v>4906</v>
      </c>
      <c r="G4234" s="22">
        <v>95795</v>
      </c>
      <c r="H4234" s="23" t="s">
        <v>2043</v>
      </c>
      <c r="I4234" s="24" t="s">
        <v>36</v>
      </c>
      <c r="J4234" s="32"/>
      <c r="K4234" s="10"/>
      <c r="L4234" s="32"/>
      <c r="M4234" s="10"/>
      <c r="N4234" s="33"/>
      <c r="O4234" s="11">
        <f>SUM(O4235)</f>
        <v>4</v>
      </c>
      <c r="P4234" s="185"/>
    </row>
    <row r="4235" spans="1:16" hidden="1" outlineLevel="1">
      <c r="E4235" s="59"/>
      <c r="F4235" s="60"/>
      <c r="G4235" s="34"/>
      <c r="H4235" s="30"/>
      <c r="I4235" s="35"/>
      <c r="J4235" s="41"/>
      <c r="K4235" s="10"/>
      <c r="L4235" s="32"/>
      <c r="M4235" s="10"/>
      <c r="N4235" s="33">
        <v>4</v>
      </c>
      <c r="O4235" s="31">
        <f>ROUND(PRODUCT(J4235:N4235),2)</f>
        <v>4</v>
      </c>
      <c r="P4235" s="185"/>
    </row>
    <row r="4236" spans="1:16" ht="45" hidden="1" outlineLevel="1">
      <c r="E4236" s="59"/>
      <c r="F4236" s="21" t="s">
        <v>4907</v>
      </c>
      <c r="G4236" s="22">
        <v>96765</v>
      </c>
      <c r="H4236" s="23" t="s">
        <v>2178</v>
      </c>
      <c r="I4236" s="24" t="s">
        <v>36</v>
      </c>
      <c r="J4236" s="32"/>
      <c r="K4236" s="10"/>
      <c r="L4236" s="32"/>
      <c r="M4236" s="10"/>
      <c r="N4236" s="33"/>
      <c r="O4236" s="11">
        <f>SUM(O4237)</f>
        <v>4</v>
      </c>
      <c r="P4236" s="185"/>
    </row>
    <row r="4237" spans="1:16" hidden="1" outlineLevel="1">
      <c r="E4237" s="59"/>
      <c r="F4237" s="60"/>
      <c r="G4237" s="34"/>
      <c r="H4237" s="30"/>
      <c r="I4237" s="35"/>
      <c r="J4237" s="41"/>
      <c r="K4237" s="10"/>
      <c r="L4237" s="32"/>
      <c r="M4237" s="10"/>
      <c r="N4237" s="33">
        <v>4</v>
      </c>
      <c r="O4237" s="31">
        <f>ROUND(PRODUCT(J4237:N4237),2)</f>
        <v>4</v>
      </c>
      <c r="P4237" s="185"/>
    </row>
    <row r="4238" spans="1:16" ht="30" hidden="1" outlineLevel="1">
      <c r="E4238" s="59"/>
      <c r="F4238" s="21" t="s">
        <v>4908</v>
      </c>
      <c r="G4238" s="22">
        <v>396</v>
      </c>
      <c r="H4238" s="23" t="s">
        <v>2181</v>
      </c>
      <c r="I4238" s="24" t="s">
        <v>36</v>
      </c>
      <c r="J4238" s="32"/>
      <c r="K4238" s="10"/>
      <c r="L4238" s="32"/>
      <c r="M4238" s="10"/>
      <c r="N4238" s="33"/>
      <c r="O4238" s="11">
        <f>SUM(O4239)</f>
        <v>2</v>
      </c>
      <c r="P4238" s="185"/>
    </row>
    <row r="4239" spans="1:16" hidden="1" outlineLevel="1">
      <c r="E4239" s="59"/>
      <c r="F4239" s="60"/>
      <c r="G4239" s="34"/>
      <c r="H4239" s="30"/>
      <c r="I4239" s="35"/>
      <c r="J4239" s="41"/>
      <c r="K4239" s="10"/>
      <c r="L4239" s="32"/>
      <c r="M4239" s="10"/>
      <c r="N4239" s="33">
        <v>2</v>
      </c>
      <c r="O4239" s="31">
        <f>ROUND(PRODUCT(J4239:N4239),2)</f>
        <v>2</v>
      </c>
      <c r="P4239" s="185"/>
    </row>
    <row r="4240" spans="1:16" ht="30" hidden="1" outlineLevel="1">
      <c r="E4240" s="59"/>
      <c r="F4240" s="21" t="s">
        <v>4909</v>
      </c>
      <c r="G4240" s="22">
        <v>398</v>
      </c>
      <c r="H4240" s="23" t="s">
        <v>2184</v>
      </c>
      <c r="I4240" s="24" t="s">
        <v>36</v>
      </c>
      <c r="J4240" s="32"/>
      <c r="K4240" s="10"/>
      <c r="L4240" s="32"/>
      <c r="M4240" s="10"/>
      <c r="N4240" s="33"/>
      <c r="O4240" s="11">
        <f>SUM(O4241)</f>
        <v>2</v>
      </c>
      <c r="P4240" s="185"/>
    </row>
    <row r="4241" spans="1:16" hidden="1" outlineLevel="1">
      <c r="E4241" s="59"/>
      <c r="F4241" s="60"/>
      <c r="G4241" s="34"/>
      <c r="H4241" s="30"/>
      <c r="I4241" s="35"/>
      <c r="J4241" s="41"/>
      <c r="K4241" s="10"/>
      <c r="L4241" s="32"/>
      <c r="M4241" s="10"/>
      <c r="N4241" s="33">
        <v>2</v>
      </c>
      <c r="O4241" s="31">
        <f>ROUND(PRODUCT(J4241:N4241),2)</f>
        <v>2</v>
      </c>
      <c r="P4241" s="185"/>
    </row>
    <row r="4242" spans="1:16" collapsed="1">
      <c r="A4242" s="2">
        <v>9</v>
      </c>
      <c r="B4242" s="2">
        <v>14</v>
      </c>
      <c r="E4242" s="42"/>
      <c r="F4242" s="130" t="s">
        <v>4910</v>
      </c>
      <c r="G4242" s="98"/>
      <c r="H4242" s="99" t="s">
        <v>4911</v>
      </c>
      <c r="I4242" s="15"/>
      <c r="J4242" s="16"/>
      <c r="K4242" s="17"/>
      <c r="L4242" s="16"/>
      <c r="M4242" s="17"/>
      <c r="N4242" s="18"/>
      <c r="O4242" s="19"/>
      <c r="P4242" s="185"/>
    </row>
    <row r="4243" spans="1:16" hidden="1" outlineLevel="1">
      <c r="A4243" s="2">
        <v>9</v>
      </c>
      <c r="B4243" s="2">
        <v>14</v>
      </c>
      <c r="C4243" s="2">
        <v>1</v>
      </c>
      <c r="E4243" s="20" t="str">
        <f>CONCATENATE(A4243,".",B4243,".",C4243)</f>
        <v>9.14.1</v>
      </c>
      <c r="F4243" s="21" t="s">
        <v>4912</v>
      </c>
      <c r="G4243" s="22">
        <v>98307</v>
      </c>
      <c r="H4243" s="23" t="s">
        <v>2631</v>
      </c>
      <c r="I4243" s="24" t="s">
        <v>36</v>
      </c>
      <c r="J4243" s="32"/>
      <c r="K4243" s="10"/>
      <c r="L4243" s="32"/>
      <c r="M4243" s="10"/>
      <c r="N4243" s="33"/>
      <c r="O4243" s="11">
        <f>SUM(O4244)</f>
        <v>10</v>
      </c>
      <c r="P4243" s="185"/>
    </row>
    <row r="4244" spans="1:16" hidden="1" outlineLevel="2">
      <c r="E4244" s="59"/>
      <c r="F4244" s="60"/>
      <c r="G4244" s="34"/>
      <c r="H4244" s="30"/>
      <c r="I4244" s="35"/>
      <c r="J4244" s="41"/>
      <c r="K4244" s="10"/>
      <c r="L4244" s="32"/>
      <c r="M4244" s="10"/>
      <c r="N4244" s="33">
        <v>10</v>
      </c>
      <c r="O4244" s="31">
        <f>ROUND(PRODUCT(J4244:N4244),2)</f>
        <v>10</v>
      </c>
      <c r="P4244" s="185"/>
    </row>
    <row r="4245" spans="1:16" hidden="1" outlineLevel="1">
      <c r="A4245" s="2">
        <v>9</v>
      </c>
      <c r="B4245" s="2">
        <v>14</v>
      </c>
      <c r="C4245" s="2">
        <f>C4243+1</f>
        <v>2</v>
      </c>
      <c r="E4245" s="20" t="str">
        <f>CONCATENATE(A4245,".",B4245,".",C4245)</f>
        <v>9.14.2</v>
      </c>
      <c r="F4245" s="21" t="s">
        <v>4913</v>
      </c>
      <c r="G4245" s="22">
        <v>98302</v>
      </c>
      <c r="H4245" s="23" t="s">
        <v>2578</v>
      </c>
      <c r="I4245" s="24" t="s">
        <v>36</v>
      </c>
      <c r="J4245" s="32"/>
      <c r="K4245" s="10"/>
      <c r="L4245" s="32"/>
      <c r="M4245" s="10"/>
      <c r="N4245" s="33"/>
      <c r="O4245" s="11">
        <f>SUM(O4246)</f>
        <v>2</v>
      </c>
      <c r="P4245" s="185"/>
    </row>
    <row r="4246" spans="1:16" hidden="1" outlineLevel="2">
      <c r="E4246" s="59"/>
      <c r="F4246" s="60"/>
      <c r="G4246" s="34"/>
      <c r="H4246" s="30"/>
      <c r="I4246" s="35"/>
      <c r="J4246" s="41"/>
      <c r="K4246" s="10"/>
      <c r="L4246" s="32"/>
      <c r="M4246" s="10"/>
      <c r="N4246" s="33">
        <v>2</v>
      </c>
      <c r="O4246" s="31">
        <f>ROUND(PRODUCT(J4246:N4246),2)</f>
        <v>2</v>
      </c>
      <c r="P4246" s="185"/>
    </row>
    <row r="4247" spans="1:16" ht="30" hidden="1" outlineLevel="1">
      <c r="A4247" s="2">
        <v>9</v>
      </c>
      <c r="B4247" s="2">
        <v>14</v>
      </c>
      <c r="C4247" s="2">
        <f>C4245+1</f>
        <v>3</v>
      </c>
      <c r="E4247" s="20" t="str">
        <f>CONCATENATE(A4247,".",B4247,".",C4247)</f>
        <v>9.14.3</v>
      </c>
      <c r="F4247" s="21" t="s">
        <v>4914</v>
      </c>
      <c r="G4247" s="22">
        <v>91939</v>
      </c>
      <c r="H4247" s="23" t="s">
        <v>2353</v>
      </c>
      <c r="I4247" s="24" t="s">
        <v>36</v>
      </c>
      <c r="J4247" s="32"/>
      <c r="K4247" s="10"/>
      <c r="L4247" s="32"/>
      <c r="M4247" s="10"/>
      <c r="N4247" s="33"/>
      <c r="O4247" s="11">
        <f>SUM(O4248)</f>
        <v>11</v>
      </c>
      <c r="P4247" s="185"/>
    </row>
    <row r="4248" spans="1:16" hidden="1" outlineLevel="2">
      <c r="E4248" s="59"/>
      <c r="F4248" s="60"/>
      <c r="G4248" s="34"/>
      <c r="H4248" s="30"/>
      <c r="I4248" s="35"/>
      <c r="J4248" s="41"/>
      <c r="K4248" s="10"/>
      <c r="L4248" s="32"/>
      <c r="M4248" s="10"/>
      <c r="N4248" s="33">
        <v>11</v>
      </c>
      <c r="O4248" s="31">
        <f>ROUND(PRODUCT(J4248:N4248),2)</f>
        <v>11</v>
      </c>
      <c r="P4248" s="185"/>
    </row>
    <row r="4249" spans="1:16" ht="30" hidden="1" outlineLevel="1">
      <c r="A4249" s="2">
        <v>9</v>
      </c>
      <c r="B4249" s="2">
        <v>14</v>
      </c>
      <c r="C4249" s="2">
        <f>C4247+1</f>
        <v>4</v>
      </c>
      <c r="E4249" s="20" t="str">
        <f>CONCATENATE(A4249,".",B4249,".",C4249)</f>
        <v>9.14.4</v>
      </c>
      <c r="F4249" s="21" t="s">
        <v>4915</v>
      </c>
      <c r="G4249" s="22">
        <v>91942</v>
      </c>
      <c r="H4249" s="23" t="s">
        <v>2608</v>
      </c>
      <c r="I4249" s="24" t="s">
        <v>36</v>
      </c>
      <c r="J4249" s="32"/>
      <c r="K4249" s="10"/>
      <c r="L4249" s="32"/>
      <c r="M4249" s="10"/>
      <c r="N4249" s="33"/>
      <c r="O4249" s="11">
        <f>SUM(O4250)</f>
        <v>8</v>
      </c>
      <c r="P4249" s="185"/>
    </row>
    <row r="4250" spans="1:16" hidden="1" outlineLevel="2">
      <c r="E4250" s="59"/>
      <c r="F4250" s="60"/>
      <c r="G4250" s="34"/>
      <c r="H4250" s="30"/>
      <c r="I4250" s="35"/>
      <c r="J4250" s="41"/>
      <c r="K4250" s="10"/>
      <c r="L4250" s="32"/>
      <c r="M4250" s="10"/>
      <c r="N4250" s="33">
        <v>8</v>
      </c>
      <c r="O4250" s="31">
        <f>ROUND(PRODUCT(J4250:N4250),2)</f>
        <v>8</v>
      </c>
      <c r="P4250" s="185"/>
    </row>
    <row r="4251" spans="1:16" ht="45" hidden="1" outlineLevel="1">
      <c r="A4251" s="2">
        <v>9</v>
      </c>
      <c r="B4251" s="2">
        <v>14</v>
      </c>
      <c r="C4251" s="2">
        <f>C4249+1</f>
        <v>5</v>
      </c>
      <c r="E4251" s="20" t="str">
        <f>CONCATENATE(A4251,".",B4251,".",C4251)</f>
        <v>9.14.5</v>
      </c>
      <c r="F4251" s="21" t="s">
        <v>4916</v>
      </c>
      <c r="G4251" s="22">
        <v>91855</v>
      </c>
      <c r="H4251" s="23" t="s">
        <v>3776</v>
      </c>
      <c r="I4251" s="24" t="s">
        <v>144</v>
      </c>
      <c r="J4251" s="32"/>
      <c r="K4251" s="10"/>
      <c r="L4251" s="32"/>
      <c r="M4251" s="10"/>
      <c r="N4251" s="33"/>
      <c r="O4251" s="11">
        <f>SUM(O4252)</f>
        <v>207</v>
      </c>
      <c r="P4251" s="185"/>
    </row>
    <row r="4252" spans="1:16" hidden="1" outlineLevel="2">
      <c r="E4252" s="59"/>
      <c r="F4252" s="60"/>
      <c r="G4252" s="34"/>
      <c r="H4252" s="30"/>
      <c r="I4252" s="35"/>
      <c r="J4252" s="41"/>
      <c r="K4252" s="10"/>
      <c r="L4252" s="32"/>
      <c r="M4252" s="10"/>
      <c r="N4252" s="33">
        <v>207</v>
      </c>
      <c r="O4252" s="31">
        <f>ROUND(PRODUCT(J4252:N4252),2)</f>
        <v>207</v>
      </c>
      <c r="P4252" s="185"/>
    </row>
    <row r="4253" spans="1:16" hidden="1" outlineLevel="1">
      <c r="A4253" s="2">
        <v>9</v>
      </c>
      <c r="B4253" s="2">
        <v>14</v>
      </c>
      <c r="C4253" s="2">
        <f>C4251+1</f>
        <v>6</v>
      </c>
      <c r="E4253" s="20" t="str">
        <f>CONCATENATE(A4253,".",B4253,".",C4253)</f>
        <v>9.14.6</v>
      </c>
      <c r="F4253" s="21" t="s">
        <v>4917</v>
      </c>
      <c r="G4253" s="22" t="s">
        <v>3976</v>
      </c>
      <c r="H4253" s="23" t="s">
        <v>3977</v>
      </c>
      <c r="I4253" s="24" t="s">
        <v>36</v>
      </c>
      <c r="J4253" s="32"/>
      <c r="K4253" s="10"/>
      <c r="L4253" s="32"/>
      <c r="M4253" s="10"/>
      <c r="N4253" s="33"/>
      <c r="O4253" s="11">
        <f>SUM(O4254)</f>
        <v>6</v>
      </c>
      <c r="P4253" s="185"/>
    </row>
    <row r="4254" spans="1:16" hidden="1" outlineLevel="2">
      <c r="E4254" s="59"/>
      <c r="F4254" s="60"/>
      <c r="G4254" s="34"/>
      <c r="H4254" s="30"/>
      <c r="I4254" s="35"/>
      <c r="J4254" s="41"/>
      <c r="K4254" s="10"/>
      <c r="L4254" s="32"/>
      <c r="M4254" s="10"/>
      <c r="N4254" s="33">
        <v>6</v>
      </c>
      <c r="O4254" s="31">
        <f>ROUND(PRODUCT(J4254:N4254),2)</f>
        <v>6</v>
      </c>
      <c r="P4254" s="185"/>
    </row>
    <row r="4255" spans="1:16" hidden="1" outlineLevel="1">
      <c r="A4255" s="2">
        <v>9</v>
      </c>
      <c r="B4255" s="2">
        <v>14</v>
      </c>
      <c r="C4255" s="2">
        <f>C4253+1</f>
        <v>7</v>
      </c>
      <c r="E4255" s="20" t="str">
        <f>CONCATENATE(A4255,".",B4255,".",C4255)</f>
        <v>9.14.7</v>
      </c>
      <c r="F4255" s="21" t="s">
        <v>4918</v>
      </c>
      <c r="G4255" s="22" t="s">
        <v>3981</v>
      </c>
      <c r="H4255" s="23" t="s">
        <v>3479</v>
      </c>
      <c r="I4255" s="24" t="s">
        <v>36</v>
      </c>
      <c r="J4255" s="32"/>
      <c r="K4255" s="10"/>
      <c r="L4255" s="32"/>
      <c r="M4255" s="10"/>
      <c r="N4255" s="33"/>
      <c r="O4255" s="11">
        <f>SUM(O4256)</f>
        <v>1</v>
      </c>
      <c r="P4255" s="185"/>
    </row>
    <row r="4256" spans="1:16" hidden="1" outlineLevel="2">
      <c r="E4256" s="59"/>
      <c r="F4256" s="60"/>
      <c r="G4256" s="34"/>
      <c r="H4256" s="30"/>
      <c r="I4256" s="35"/>
      <c r="J4256" s="41"/>
      <c r="K4256" s="10"/>
      <c r="L4256" s="32"/>
      <c r="M4256" s="10"/>
      <c r="N4256" s="33">
        <v>1</v>
      </c>
      <c r="O4256" s="31">
        <f>ROUND(PRODUCT(J4256:N4256),2)</f>
        <v>1</v>
      </c>
      <c r="P4256" s="185"/>
    </row>
    <row r="4257" spans="1:16" hidden="1" outlineLevel="1">
      <c r="A4257" s="2">
        <v>9</v>
      </c>
      <c r="B4257" s="2">
        <v>14</v>
      </c>
      <c r="C4257" s="2">
        <f>C4255+1</f>
        <v>8</v>
      </c>
      <c r="E4257" s="20" t="str">
        <f>CONCATENATE(A4257,".",B4257,".",C4257)</f>
        <v>9.14.8</v>
      </c>
      <c r="F4257" s="21" t="s">
        <v>4919</v>
      </c>
      <c r="G4257" s="22" t="s">
        <v>3405</v>
      </c>
      <c r="H4257" s="23" t="s">
        <v>3406</v>
      </c>
      <c r="I4257" s="24" t="s">
        <v>36</v>
      </c>
      <c r="J4257" s="32"/>
      <c r="K4257" s="10"/>
      <c r="L4257" s="32"/>
      <c r="M4257" s="10"/>
      <c r="N4257" s="33"/>
      <c r="O4257" s="11">
        <f>SUM(O4258)</f>
        <v>1</v>
      </c>
      <c r="P4257" s="185"/>
    </row>
    <row r="4258" spans="1:16" hidden="1" outlineLevel="2">
      <c r="E4258" s="59"/>
      <c r="F4258" s="60"/>
      <c r="G4258" s="34"/>
      <c r="H4258" s="30"/>
      <c r="I4258" s="35"/>
      <c r="J4258" s="41"/>
      <c r="K4258" s="10"/>
      <c r="L4258" s="32"/>
      <c r="M4258" s="10"/>
      <c r="N4258" s="33">
        <v>1</v>
      </c>
      <c r="O4258" s="31">
        <f>ROUND(PRODUCT(J4258:N4258),2)</f>
        <v>1</v>
      </c>
      <c r="P4258" s="185"/>
    </row>
    <row r="4259" spans="1:16" hidden="1" outlineLevel="1">
      <c r="A4259" s="2">
        <v>9</v>
      </c>
      <c r="B4259" s="2">
        <v>14</v>
      </c>
      <c r="C4259" s="2">
        <f>C4257+1</f>
        <v>9</v>
      </c>
      <c r="E4259" s="20" t="str">
        <f>CONCATENATE(A4259,".",B4259,".",C4259)</f>
        <v>9.14.9</v>
      </c>
      <c r="F4259" s="21" t="s">
        <v>4920</v>
      </c>
      <c r="G4259" s="22" t="s">
        <v>3985</v>
      </c>
      <c r="H4259" s="23" t="s">
        <v>3986</v>
      </c>
      <c r="I4259" s="24" t="s">
        <v>36</v>
      </c>
      <c r="J4259" s="32"/>
      <c r="K4259" s="10"/>
      <c r="L4259" s="32"/>
      <c r="M4259" s="10"/>
      <c r="N4259" s="33"/>
      <c r="O4259" s="11">
        <f>SUM(O4260)</f>
        <v>1</v>
      </c>
      <c r="P4259" s="185"/>
    </row>
    <row r="4260" spans="1:16" hidden="1" outlineLevel="2">
      <c r="E4260" s="59"/>
      <c r="F4260" s="60"/>
      <c r="G4260" s="34"/>
      <c r="H4260" s="30"/>
      <c r="I4260" s="35"/>
      <c r="J4260" s="41"/>
      <c r="K4260" s="10"/>
      <c r="L4260" s="32"/>
      <c r="M4260" s="10"/>
      <c r="N4260" s="33">
        <v>1</v>
      </c>
      <c r="O4260" s="31">
        <f>ROUND(PRODUCT(J4260:N4260),2)</f>
        <v>1</v>
      </c>
      <c r="P4260" s="185"/>
    </row>
    <row r="4261" spans="1:16" hidden="1" outlineLevel="1">
      <c r="A4261" s="2">
        <v>9</v>
      </c>
      <c r="B4261" s="2">
        <v>14</v>
      </c>
      <c r="C4261" s="2">
        <f>C4259+1</f>
        <v>10</v>
      </c>
      <c r="E4261" s="20" t="str">
        <f>CONCATENATE(A4261,".",B4261,".",C4261)</f>
        <v>9.14.10</v>
      </c>
      <c r="F4261" s="21" t="s">
        <v>4921</v>
      </c>
      <c r="G4261" s="22" t="s">
        <v>3419</v>
      </c>
      <c r="H4261" s="23" t="s">
        <v>3420</v>
      </c>
      <c r="I4261" s="24" t="s">
        <v>36</v>
      </c>
      <c r="J4261" s="32"/>
      <c r="K4261" s="10"/>
      <c r="L4261" s="32"/>
      <c r="M4261" s="10"/>
      <c r="N4261" s="33"/>
      <c r="O4261" s="11">
        <f>SUM(O4262)</f>
        <v>1</v>
      </c>
      <c r="P4261" s="185"/>
    </row>
    <row r="4262" spans="1:16" hidden="1" outlineLevel="2">
      <c r="E4262" s="59"/>
      <c r="F4262" s="60"/>
      <c r="G4262" s="34"/>
      <c r="H4262" s="30"/>
      <c r="I4262" s="35"/>
      <c r="J4262" s="41"/>
      <c r="K4262" s="10"/>
      <c r="L4262" s="32"/>
      <c r="M4262" s="10"/>
      <c r="N4262" s="33">
        <v>1</v>
      </c>
      <c r="O4262" s="31">
        <f>ROUND(PRODUCT(J4262:N4262),2)</f>
        <v>1</v>
      </c>
      <c r="P4262" s="185"/>
    </row>
    <row r="4263" spans="1:16" hidden="1" outlineLevel="1">
      <c r="A4263" s="2">
        <v>9</v>
      </c>
      <c r="B4263" s="2">
        <v>14</v>
      </c>
      <c r="C4263" s="2">
        <f>C4261+1</f>
        <v>11</v>
      </c>
      <c r="E4263" s="20" t="str">
        <f>CONCATENATE(A4263,".",B4263,".",C4263)</f>
        <v>9.14.11</v>
      </c>
      <c r="F4263" s="21" t="s">
        <v>4922</v>
      </c>
      <c r="G4263" s="22" t="s">
        <v>3422</v>
      </c>
      <c r="H4263" s="23" t="s">
        <v>3423</v>
      </c>
      <c r="I4263" s="24" t="s">
        <v>36</v>
      </c>
      <c r="J4263" s="32"/>
      <c r="K4263" s="10"/>
      <c r="L4263" s="32"/>
      <c r="M4263" s="10"/>
      <c r="N4263" s="33"/>
      <c r="O4263" s="11">
        <f>SUM(O4264)</f>
        <v>50</v>
      </c>
      <c r="P4263" s="185"/>
    </row>
    <row r="4264" spans="1:16" hidden="1" outlineLevel="2">
      <c r="E4264" s="59"/>
      <c r="F4264" s="60"/>
      <c r="G4264" s="34"/>
      <c r="H4264" s="30"/>
      <c r="I4264" s="35"/>
      <c r="J4264" s="41"/>
      <c r="K4264" s="10"/>
      <c r="L4264" s="32"/>
      <c r="M4264" s="10"/>
      <c r="N4264" s="33">
        <v>50</v>
      </c>
      <c r="O4264" s="31">
        <f>ROUND(PRODUCT(J4264:N4264),2)</f>
        <v>50</v>
      </c>
      <c r="P4264" s="185"/>
    </row>
    <row r="4265" spans="1:16" hidden="1" outlineLevel="1">
      <c r="A4265" s="2">
        <v>9</v>
      </c>
      <c r="B4265" s="2">
        <v>14</v>
      </c>
      <c r="C4265" s="2">
        <f>C4263+1</f>
        <v>12</v>
      </c>
      <c r="E4265" s="20" t="str">
        <f>CONCATENATE(A4265,".",B4265,".",C4265)</f>
        <v>9.14.12</v>
      </c>
      <c r="F4265" s="21" t="s">
        <v>4923</v>
      </c>
      <c r="G4265" s="22" t="s">
        <v>3425</v>
      </c>
      <c r="H4265" s="23" t="s">
        <v>3426</v>
      </c>
      <c r="I4265" s="24" t="s">
        <v>36</v>
      </c>
      <c r="J4265" s="32"/>
      <c r="K4265" s="10"/>
      <c r="L4265" s="32"/>
      <c r="M4265" s="10"/>
      <c r="N4265" s="33"/>
      <c r="O4265" s="11">
        <f>SUM(O4266)</f>
        <v>4</v>
      </c>
      <c r="P4265" s="185"/>
    </row>
    <row r="4266" spans="1:16" hidden="1" outlineLevel="2">
      <c r="E4266" s="59"/>
      <c r="F4266" s="60"/>
      <c r="G4266" s="34"/>
      <c r="H4266" s="30"/>
      <c r="I4266" s="35"/>
      <c r="J4266" s="41"/>
      <c r="K4266" s="10"/>
      <c r="L4266" s="32"/>
      <c r="M4266" s="10"/>
      <c r="N4266" s="33">
        <v>4</v>
      </c>
      <c r="O4266" s="31">
        <f>ROUND(PRODUCT(J4266:N4266),2)</f>
        <v>4</v>
      </c>
      <c r="P4266" s="185"/>
    </row>
    <row r="4267" spans="1:16" hidden="1" outlineLevel="1">
      <c r="A4267" s="2">
        <v>9</v>
      </c>
      <c r="B4267" s="2">
        <v>14</v>
      </c>
      <c r="C4267" s="2">
        <f>C4265+1</f>
        <v>13</v>
      </c>
      <c r="E4267" s="20" t="str">
        <f>CONCATENATE(A4267,".",B4267,".",C4267)</f>
        <v>9.14.13</v>
      </c>
      <c r="F4267" s="21" t="s">
        <v>4924</v>
      </c>
      <c r="G4267" s="22" t="s">
        <v>3433</v>
      </c>
      <c r="H4267" s="23" t="s">
        <v>3434</v>
      </c>
      <c r="I4267" s="24" t="s">
        <v>36</v>
      </c>
      <c r="J4267" s="32"/>
      <c r="K4267" s="10"/>
      <c r="L4267" s="32"/>
      <c r="M4267" s="10"/>
      <c r="N4267" s="33"/>
      <c r="O4267" s="11">
        <f>SUM(O4268)</f>
        <v>1</v>
      </c>
      <c r="P4267" s="185"/>
    </row>
    <row r="4268" spans="1:16" hidden="1" outlineLevel="2">
      <c r="E4268" s="59"/>
      <c r="F4268" s="60"/>
      <c r="G4268" s="34"/>
      <c r="H4268" s="30"/>
      <c r="I4268" s="35"/>
      <c r="J4268" s="41"/>
      <c r="K4268" s="10"/>
      <c r="L4268" s="32"/>
      <c r="M4268" s="10"/>
      <c r="N4268" s="33">
        <v>1</v>
      </c>
      <c r="O4268" s="31">
        <f>ROUND(PRODUCT(J4268:N4268),2)</f>
        <v>1</v>
      </c>
      <c r="P4268" s="185"/>
    </row>
    <row r="4269" spans="1:16" hidden="1" outlineLevel="1">
      <c r="A4269" s="2">
        <v>9</v>
      </c>
      <c r="B4269" s="2">
        <v>14</v>
      </c>
      <c r="C4269" s="2">
        <f>C4267+1</f>
        <v>14</v>
      </c>
      <c r="E4269" s="20" t="str">
        <f>CONCATENATE(A4269,".",B4269,".",C4269)</f>
        <v>9.14.14</v>
      </c>
      <c r="F4269" s="21" t="s">
        <v>4925</v>
      </c>
      <c r="G4269" s="22" t="s">
        <v>3436</v>
      </c>
      <c r="H4269" s="23" t="s">
        <v>3437</v>
      </c>
      <c r="I4269" s="24" t="s">
        <v>36</v>
      </c>
      <c r="J4269" s="32"/>
      <c r="K4269" s="10"/>
      <c r="L4269" s="32"/>
      <c r="M4269" s="10"/>
      <c r="N4269" s="33"/>
      <c r="O4269" s="11">
        <f>SUM(O4270)</f>
        <v>1</v>
      </c>
      <c r="P4269" s="185"/>
    </row>
    <row r="4270" spans="1:16" hidden="1" outlineLevel="2">
      <c r="E4270" s="59"/>
      <c r="F4270" s="60"/>
      <c r="G4270" s="34"/>
      <c r="H4270" s="30"/>
      <c r="I4270" s="35"/>
      <c r="J4270" s="41"/>
      <c r="K4270" s="10"/>
      <c r="L4270" s="32"/>
      <c r="M4270" s="10"/>
      <c r="N4270" s="33">
        <v>1</v>
      </c>
      <c r="O4270" s="31">
        <f>ROUND(PRODUCT(J4270:N4270),2)</f>
        <v>1</v>
      </c>
      <c r="P4270" s="185"/>
    </row>
    <row r="4271" spans="1:16" hidden="1" outlineLevel="1">
      <c r="A4271" s="2">
        <v>9</v>
      </c>
      <c r="B4271" s="2">
        <v>14</v>
      </c>
      <c r="C4271" s="2">
        <f>C4269+1</f>
        <v>15</v>
      </c>
      <c r="E4271" s="20" t="str">
        <f>CONCATENATE(A4271,".",B4271,".",C4271)</f>
        <v>9.14.15</v>
      </c>
      <c r="F4271" s="21" t="s">
        <v>4926</v>
      </c>
      <c r="G4271" s="22" t="s">
        <v>3999</v>
      </c>
      <c r="H4271" s="23" t="s">
        <v>4000</v>
      </c>
      <c r="I4271" s="24" t="s">
        <v>144</v>
      </c>
      <c r="J4271" s="32"/>
      <c r="K4271" s="10"/>
      <c r="L4271" s="32"/>
      <c r="M4271" s="10"/>
      <c r="N4271" s="33"/>
      <c r="O4271" s="11">
        <f>SUM(O4272)</f>
        <v>242.22</v>
      </c>
      <c r="P4271" s="185"/>
    </row>
    <row r="4272" spans="1:16" hidden="1" outlineLevel="2">
      <c r="E4272" s="59"/>
      <c r="F4272" s="60"/>
      <c r="G4272" s="34"/>
      <c r="H4272" s="30"/>
      <c r="I4272" s="35"/>
      <c r="J4272" s="41"/>
      <c r="K4272" s="10"/>
      <c r="L4272" s="32"/>
      <c r="M4272" s="10"/>
      <c r="N4272" s="33">
        <f>468.1-225.88</f>
        <v>242.22000000000003</v>
      </c>
      <c r="O4272" s="31">
        <f>ROUND(PRODUCT(J4272:N4272),2)</f>
        <v>242.22</v>
      </c>
      <c r="P4272" s="185"/>
    </row>
    <row r="4273" spans="1:16" hidden="1" outlineLevel="1">
      <c r="A4273" s="2">
        <v>9</v>
      </c>
      <c r="B4273" s="2">
        <v>14</v>
      </c>
      <c r="C4273" s="2">
        <f>C4271+1</f>
        <v>16</v>
      </c>
      <c r="E4273" s="20" t="str">
        <f>CONCATENATE(A4273,".",B4273,".",C4273)</f>
        <v>9.14.16</v>
      </c>
      <c r="F4273" s="21" t="s">
        <v>4927</v>
      </c>
      <c r="G4273" s="22" t="s">
        <v>4002</v>
      </c>
      <c r="H4273" s="23" t="s">
        <v>3446</v>
      </c>
      <c r="I4273" s="24" t="s">
        <v>144</v>
      </c>
      <c r="J4273" s="32"/>
      <c r="K4273" s="10"/>
      <c r="L4273" s="32"/>
      <c r="M4273" s="10"/>
      <c r="N4273" s="33"/>
      <c r="O4273" s="11">
        <f>SUM(O4274)</f>
        <v>6</v>
      </c>
      <c r="P4273" s="185"/>
    </row>
    <row r="4274" spans="1:16" hidden="1" outlineLevel="2">
      <c r="E4274" s="59"/>
      <c r="F4274" s="60"/>
      <c r="G4274" s="34"/>
      <c r="H4274" s="30"/>
      <c r="I4274" s="35"/>
      <c r="J4274" s="41"/>
      <c r="K4274" s="10"/>
      <c r="L4274" s="32"/>
      <c r="M4274" s="10"/>
      <c r="N4274" s="33">
        <v>6</v>
      </c>
      <c r="O4274" s="31">
        <f>ROUND(PRODUCT(J4274:N4274),2)</f>
        <v>6</v>
      </c>
      <c r="P4274" s="185"/>
    </row>
    <row r="4275" spans="1:16" hidden="1" outlineLevel="1">
      <c r="A4275" s="2">
        <v>9</v>
      </c>
      <c r="B4275" s="2">
        <v>14</v>
      </c>
      <c r="C4275" s="2">
        <f>C4273+1</f>
        <v>17</v>
      </c>
      <c r="E4275" s="20" t="str">
        <f>CONCATENATE(A4275,".",B4275,".",C4275)</f>
        <v>9.14.17</v>
      </c>
      <c r="F4275" s="21" t="s">
        <v>4928</v>
      </c>
      <c r="G4275" s="22" t="s">
        <v>3821</v>
      </c>
      <c r="H4275" s="23" t="s">
        <v>3449</v>
      </c>
      <c r="I4275" s="24" t="s">
        <v>36</v>
      </c>
      <c r="J4275" s="32"/>
      <c r="K4275" s="10"/>
      <c r="L4275" s="32"/>
      <c r="M4275" s="10"/>
      <c r="N4275" s="33"/>
      <c r="O4275" s="11">
        <f>SUM(O4276)</f>
        <v>8</v>
      </c>
      <c r="P4275" s="185"/>
    </row>
    <row r="4276" spans="1:16" hidden="1" outlineLevel="2">
      <c r="E4276" s="59"/>
      <c r="F4276" s="60"/>
      <c r="G4276" s="34"/>
      <c r="H4276" s="30"/>
      <c r="I4276" s="35"/>
      <c r="J4276" s="41"/>
      <c r="K4276" s="10"/>
      <c r="L4276" s="32"/>
      <c r="M4276" s="10"/>
      <c r="N4276" s="33">
        <v>8</v>
      </c>
      <c r="O4276" s="31">
        <f>ROUND(PRODUCT(J4276:N4276),2)</f>
        <v>8</v>
      </c>
      <c r="P4276" s="185"/>
    </row>
    <row r="4277" spans="1:16" hidden="1" outlineLevel="1">
      <c r="A4277" s="2">
        <v>9</v>
      </c>
      <c r="B4277" s="2">
        <v>14</v>
      </c>
      <c r="C4277" s="2">
        <f>C4275+1</f>
        <v>18</v>
      </c>
      <c r="E4277" s="20" t="str">
        <f>CONCATENATE(A4277,".",B4277,".",C4277)</f>
        <v>9.14.18</v>
      </c>
      <c r="F4277" s="21" t="s">
        <v>4929</v>
      </c>
      <c r="G4277" s="22" t="s">
        <v>3826</v>
      </c>
      <c r="H4277" s="23" t="s">
        <v>3827</v>
      </c>
      <c r="I4277" s="24" t="s">
        <v>36</v>
      </c>
      <c r="J4277" s="32"/>
      <c r="K4277" s="10"/>
      <c r="L4277" s="32"/>
      <c r="M4277" s="10"/>
      <c r="N4277" s="33"/>
      <c r="O4277" s="11">
        <f>SUM(O4278)</f>
        <v>6</v>
      </c>
      <c r="P4277" s="185"/>
    </row>
    <row r="4278" spans="1:16" hidden="1" outlineLevel="2">
      <c r="E4278" s="59"/>
      <c r="F4278" s="60"/>
      <c r="G4278" s="34"/>
      <c r="H4278" s="30"/>
      <c r="I4278" s="35"/>
      <c r="J4278" s="41"/>
      <c r="K4278" s="10"/>
      <c r="L4278" s="32"/>
      <c r="M4278" s="10"/>
      <c r="N4278" s="33">
        <v>6</v>
      </c>
      <c r="O4278" s="31">
        <f>ROUND(PRODUCT(J4278:N4278),2)</f>
        <v>6</v>
      </c>
      <c r="P4278" s="185"/>
    </row>
    <row r="4279" spans="1:16" hidden="1" outlineLevel="1">
      <c r="A4279" s="2">
        <v>9</v>
      </c>
      <c r="B4279" s="2">
        <v>14</v>
      </c>
      <c r="C4279" s="2">
        <f>C4277+1</f>
        <v>19</v>
      </c>
      <c r="E4279" s="20" t="str">
        <f>CONCATENATE(A4279,".",B4279,".",C4279)</f>
        <v>9.14.19</v>
      </c>
      <c r="F4279" s="21" t="s">
        <v>4930</v>
      </c>
      <c r="G4279" s="22" t="s">
        <v>4583</v>
      </c>
      <c r="H4279" s="23" t="s">
        <v>3488</v>
      </c>
      <c r="I4279" s="24" t="s">
        <v>36</v>
      </c>
      <c r="J4279" s="32"/>
      <c r="K4279" s="10"/>
      <c r="L4279" s="32"/>
      <c r="M4279" s="10"/>
      <c r="N4279" s="33"/>
      <c r="O4279" s="11">
        <f>SUM(O4280)</f>
        <v>1</v>
      </c>
      <c r="P4279" s="185"/>
    </row>
    <row r="4280" spans="1:16" hidden="1" outlineLevel="2">
      <c r="E4280" s="59"/>
      <c r="F4280" s="60"/>
      <c r="G4280" s="34"/>
      <c r="H4280" s="30"/>
      <c r="I4280" s="35"/>
      <c r="J4280" s="41"/>
      <c r="K4280" s="10"/>
      <c r="L4280" s="32"/>
      <c r="M4280" s="10"/>
      <c r="N4280" s="33">
        <v>1</v>
      </c>
      <c r="O4280" s="31">
        <f>ROUND(PRODUCT(J4280:N4280),2)</f>
        <v>1</v>
      </c>
      <c r="P4280" s="185"/>
    </row>
    <row r="4281" spans="1:16" hidden="1" outlineLevel="1">
      <c r="A4281" s="2">
        <v>9</v>
      </c>
      <c r="B4281" s="2">
        <v>14</v>
      </c>
      <c r="C4281" s="2">
        <f>C4279+1</f>
        <v>20</v>
      </c>
      <c r="E4281" s="20" t="str">
        <f>CONCATENATE(A4281,".",B4281,".",C4281)</f>
        <v>9.14.20</v>
      </c>
      <c r="F4281" s="21" t="s">
        <v>4931</v>
      </c>
      <c r="G4281" s="22" t="s">
        <v>4010</v>
      </c>
      <c r="H4281" s="23" t="s">
        <v>3494</v>
      </c>
      <c r="I4281" s="24" t="s">
        <v>36</v>
      </c>
      <c r="J4281" s="32"/>
      <c r="K4281" s="10"/>
      <c r="L4281" s="32"/>
      <c r="M4281" s="10"/>
      <c r="N4281" s="33"/>
      <c r="O4281" s="11">
        <f>SUM(O4282)</f>
        <v>1</v>
      </c>
      <c r="P4281" s="185"/>
    </row>
    <row r="4282" spans="1:16" hidden="1" outlineLevel="2">
      <c r="E4282" s="59"/>
      <c r="F4282" s="60"/>
      <c r="G4282" s="34"/>
      <c r="H4282" s="30"/>
      <c r="I4282" s="35"/>
      <c r="J4282" s="41"/>
      <c r="K4282" s="10"/>
      <c r="L4282" s="32"/>
      <c r="M4282" s="10"/>
      <c r="N4282" s="33">
        <v>1</v>
      </c>
      <c r="O4282" s="31">
        <f>ROUND(PRODUCT(J4282:N4282),2)</f>
        <v>1</v>
      </c>
      <c r="P4282" s="185"/>
    </row>
    <row r="4283" spans="1:16" collapsed="1">
      <c r="A4283" s="2">
        <v>9</v>
      </c>
      <c r="B4283" s="2">
        <v>15</v>
      </c>
      <c r="E4283" s="42" t="str">
        <f>CONCATENATE(A4283,".",B4283)</f>
        <v>9.15</v>
      </c>
      <c r="F4283" s="45" t="s">
        <v>4932</v>
      </c>
      <c r="G4283" s="13"/>
      <c r="H4283" s="14" t="s">
        <v>876</v>
      </c>
      <c r="I4283" s="15"/>
      <c r="J4283" s="16"/>
      <c r="K4283" s="17"/>
      <c r="L4283" s="16"/>
      <c r="M4283" s="17"/>
      <c r="N4283" s="18"/>
      <c r="O4283" s="19"/>
      <c r="P4283" s="185"/>
    </row>
    <row r="4284" spans="1:16" ht="30" hidden="1" outlineLevel="1">
      <c r="A4284" s="2">
        <v>9</v>
      </c>
      <c r="B4284" s="2">
        <v>15</v>
      </c>
      <c r="C4284" s="2">
        <v>1</v>
      </c>
      <c r="E4284" s="20" t="str">
        <f>CONCATENATE(A4284,".",B4284,".",C4284)</f>
        <v>9.15.1</v>
      </c>
      <c r="F4284" s="21" t="s">
        <v>4912</v>
      </c>
      <c r="G4284" s="22">
        <v>103244</v>
      </c>
      <c r="H4284" s="23" t="s">
        <v>1662</v>
      </c>
      <c r="I4284" s="24" t="s">
        <v>36</v>
      </c>
      <c r="J4284" s="32"/>
      <c r="K4284" s="10"/>
      <c r="L4284" s="32"/>
      <c r="M4284" s="10"/>
      <c r="N4284" s="33"/>
      <c r="O4284" s="11">
        <f>SUM(O4285)</f>
        <v>1</v>
      </c>
      <c r="P4284" s="185"/>
    </row>
    <row r="4285" spans="1:16" hidden="1" outlineLevel="1">
      <c r="E4285" s="29"/>
      <c r="F4285" s="21"/>
      <c r="G4285" s="34"/>
      <c r="H4285" s="30"/>
      <c r="I4285" s="35"/>
      <c r="J4285" s="41"/>
      <c r="K4285" s="10"/>
      <c r="L4285" s="32"/>
      <c r="M4285" s="10"/>
      <c r="N4285" s="33">
        <v>1</v>
      </c>
      <c r="O4285" s="31">
        <f>ROUND(PRODUCT(J4285:N4285),2)</f>
        <v>1</v>
      </c>
      <c r="P4285" s="185"/>
    </row>
    <row r="4286" spans="1:16" ht="30" hidden="1" outlineLevel="1">
      <c r="A4286" s="2">
        <v>9</v>
      </c>
      <c r="B4286" s="2">
        <v>15</v>
      </c>
      <c r="C4286" s="2">
        <f>C4284+1</f>
        <v>2</v>
      </c>
      <c r="E4286" s="20" t="str">
        <f>CONCATENATE(A4286,".",B4286,".",C4286)</f>
        <v>9.15.2</v>
      </c>
      <c r="F4286" s="21" t="s">
        <v>4913</v>
      </c>
      <c r="G4286" s="22">
        <v>103289</v>
      </c>
      <c r="H4286" s="23" t="s">
        <v>897</v>
      </c>
      <c r="I4286" s="24" t="s">
        <v>144</v>
      </c>
      <c r="J4286" s="32"/>
      <c r="K4286" s="10"/>
      <c r="L4286" s="32"/>
      <c r="M4286" s="10"/>
      <c r="N4286" s="33"/>
      <c r="O4286" s="11">
        <f>SUM(O4287)</f>
        <v>6</v>
      </c>
      <c r="P4286" s="185"/>
    </row>
    <row r="4287" spans="1:16" hidden="1" outlineLevel="1">
      <c r="E4287" s="29"/>
      <c r="F4287" s="21"/>
      <c r="G4287" s="34"/>
      <c r="H4287" s="30"/>
      <c r="I4287" s="35"/>
      <c r="J4287" s="41"/>
      <c r="K4287" s="10"/>
      <c r="L4287" s="32"/>
      <c r="M4287" s="10"/>
      <c r="N4287" s="33">
        <v>6</v>
      </c>
      <c r="O4287" s="31">
        <f>ROUND(PRODUCT(J4287:N4287),2)</f>
        <v>6</v>
      </c>
      <c r="P4287" s="185"/>
    </row>
    <row r="4288" spans="1:16" ht="30" hidden="1" outlineLevel="1">
      <c r="A4288" s="2">
        <v>9</v>
      </c>
      <c r="B4288" s="2">
        <v>15</v>
      </c>
      <c r="C4288" s="2">
        <f>C4286+1</f>
        <v>3</v>
      </c>
      <c r="E4288" s="20" t="str">
        <f>CONCATENATE(A4288,".",B4288,".",C4288)</f>
        <v>9.15.3</v>
      </c>
      <c r="F4288" s="21" t="s">
        <v>4914</v>
      </c>
      <c r="G4288" s="22">
        <v>103290</v>
      </c>
      <c r="H4288" s="23" t="s">
        <v>4933</v>
      </c>
      <c r="I4288" s="24" t="s">
        <v>144</v>
      </c>
      <c r="J4288" s="32"/>
      <c r="K4288" s="10"/>
      <c r="L4288" s="32"/>
      <c r="M4288" s="10"/>
      <c r="N4288" s="33"/>
      <c r="O4288" s="11">
        <f>SUM(O4289)</f>
        <v>6</v>
      </c>
      <c r="P4288" s="185"/>
    </row>
    <row r="4289" spans="1:17" hidden="1" outlineLevel="1">
      <c r="E4289" s="29"/>
      <c r="F4289" s="21"/>
      <c r="G4289" s="34"/>
      <c r="H4289" s="30"/>
      <c r="I4289" s="35"/>
      <c r="J4289" s="41"/>
      <c r="K4289" s="10"/>
      <c r="L4289" s="32"/>
      <c r="M4289" s="10"/>
      <c r="N4289" s="33">
        <v>6</v>
      </c>
      <c r="O4289" s="31">
        <f>ROUND(PRODUCT(J4289:N4289),2)</f>
        <v>6</v>
      </c>
      <c r="P4289" s="185"/>
    </row>
    <row r="4290" spans="1:17" ht="30" hidden="1" outlineLevel="1">
      <c r="A4290" s="2">
        <v>9</v>
      </c>
      <c r="B4290" s="2">
        <v>15</v>
      </c>
      <c r="C4290" s="2">
        <f>C4288+1</f>
        <v>4</v>
      </c>
      <c r="E4290" s="20" t="str">
        <f>CONCATENATE(A4290,".",B4290,".",C4290)</f>
        <v>9.15.4</v>
      </c>
      <c r="F4290" s="21" t="s">
        <v>4915</v>
      </c>
      <c r="G4290" s="22">
        <v>590</v>
      </c>
      <c r="H4290" s="23" t="s">
        <v>4934</v>
      </c>
      <c r="I4290" s="24" t="s">
        <v>36</v>
      </c>
      <c r="J4290" s="32"/>
      <c r="K4290" s="10"/>
      <c r="L4290" s="32"/>
      <c r="M4290" s="10"/>
      <c r="N4290" s="33"/>
      <c r="O4290" s="11">
        <f>SUM(O4291)</f>
        <v>1</v>
      </c>
      <c r="P4290" s="185"/>
    </row>
    <row r="4291" spans="1:17" hidden="1" outlineLevel="1">
      <c r="E4291" s="29"/>
      <c r="F4291" s="21"/>
      <c r="G4291" s="34"/>
      <c r="H4291" s="30"/>
      <c r="I4291" s="35"/>
      <c r="J4291" s="41"/>
      <c r="K4291" s="10"/>
      <c r="L4291" s="32"/>
      <c r="M4291" s="10"/>
      <c r="N4291" s="33">
        <v>1</v>
      </c>
      <c r="O4291" s="31">
        <f>ROUND(PRODUCT(J4291:N4291),2)</f>
        <v>1</v>
      </c>
      <c r="P4291" s="185"/>
    </row>
    <row r="4292" spans="1:17" ht="30" hidden="1" outlineLevel="1">
      <c r="E4292" s="29"/>
      <c r="F4292" s="21" t="s">
        <v>4916</v>
      </c>
      <c r="G4292" s="22">
        <v>1262</v>
      </c>
      <c r="H4292" s="23" t="s">
        <v>937</v>
      </c>
      <c r="I4292" s="24" t="s">
        <v>36</v>
      </c>
      <c r="J4292" s="32"/>
      <c r="K4292" s="10"/>
      <c r="L4292" s="32"/>
      <c r="M4292" s="10"/>
      <c r="N4292" s="33"/>
      <c r="O4292" s="11">
        <f>SUM(O4293)</f>
        <v>4</v>
      </c>
      <c r="P4292" s="185"/>
    </row>
    <row r="4293" spans="1:17" hidden="1" outlineLevel="1">
      <c r="E4293" s="29"/>
      <c r="F4293" s="21"/>
      <c r="G4293" s="34"/>
      <c r="H4293" s="30"/>
      <c r="I4293" s="35"/>
      <c r="J4293" s="41"/>
      <c r="K4293" s="10"/>
      <c r="L4293" s="32"/>
      <c r="M4293" s="10"/>
      <c r="N4293" s="33">
        <v>4</v>
      </c>
      <c r="O4293" s="31">
        <f>ROUND(PRODUCT(J4293:N4293),2)</f>
        <v>4</v>
      </c>
      <c r="P4293" s="185"/>
    </row>
    <row r="4294" spans="1:17" hidden="1" outlineLevel="1">
      <c r="E4294" s="29"/>
      <c r="F4294" s="21" t="s">
        <v>4917</v>
      </c>
      <c r="G4294" s="22">
        <v>447</v>
      </c>
      <c r="H4294" s="23" t="s">
        <v>1202</v>
      </c>
      <c r="I4294" s="24" t="s">
        <v>80</v>
      </c>
      <c r="J4294" s="41"/>
      <c r="K4294" s="10"/>
      <c r="L4294" s="32"/>
      <c r="M4294" s="10"/>
      <c r="N4294" s="33"/>
      <c r="O4294" s="11">
        <f>SUM(O4295)</f>
        <v>1</v>
      </c>
      <c r="P4294" s="185"/>
    </row>
    <row r="4295" spans="1:17" hidden="1" outlineLevel="1">
      <c r="E4295" s="29"/>
      <c r="F4295" s="21"/>
      <c r="G4295" s="34"/>
      <c r="H4295" s="30"/>
      <c r="I4295" s="35"/>
      <c r="J4295" s="41"/>
      <c r="K4295" s="10"/>
      <c r="L4295" s="32"/>
      <c r="M4295" s="10"/>
      <c r="N4295" s="33">
        <v>1</v>
      </c>
      <c r="O4295" s="31">
        <f>ROUND(PRODUCT(J4295:N4295),2)</f>
        <v>1</v>
      </c>
      <c r="P4295" s="185"/>
    </row>
    <row r="4296" spans="1:17" hidden="1" outlineLevel="1">
      <c r="E4296" s="29"/>
      <c r="F4296" s="21" t="s">
        <v>4918</v>
      </c>
      <c r="G4296" s="22">
        <v>448</v>
      </c>
      <c r="H4296" s="23" t="s">
        <v>945</v>
      </c>
      <c r="I4296" s="24" t="s">
        <v>80</v>
      </c>
      <c r="J4296" s="41"/>
      <c r="K4296" s="10"/>
      <c r="L4296" s="32"/>
      <c r="M4296" s="10"/>
      <c r="N4296" s="33"/>
      <c r="O4296" s="11">
        <f>SUM(O4297)</f>
        <v>1</v>
      </c>
      <c r="P4296" s="185"/>
    </row>
    <row r="4297" spans="1:17" hidden="1" outlineLevel="1">
      <c r="E4297" s="29"/>
      <c r="F4297" s="21"/>
      <c r="G4297" s="34"/>
      <c r="H4297" s="30"/>
      <c r="I4297" s="35"/>
      <c r="J4297" s="41"/>
      <c r="K4297" s="10"/>
      <c r="L4297" s="32"/>
      <c r="M4297" s="10"/>
      <c r="N4297" s="33">
        <v>1</v>
      </c>
      <c r="O4297" s="31">
        <f>ROUND(PRODUCT(J4297:N4297),2)</f>
        <v>1</v>
      </c>
      <c r="P4297" s="185"/>
    </row>
    <row r="4298" spans="1:17" ht="30" hidden="1" outlineLevel="1">
      <c r="E4298" s="29"/>
      <c r="F4298" s="21" t="s">
        <v>4919</v>
      </c>
      <c r="G4298" s="22">
        <v>91927</v>
      </c>
      <c r="H4298" s="23" t="s">
        <v>927</v>
      </c>
      <c r="I4298" s="24" t="s">
        <v>144</v>
      </c>
      <c r="J4298" s="41"/>
      <c r="K4298" s="10"/>
      <c r="L4298" s="32"/>
      <c r="M4298" s="10"/>
      <c r="N4298" s="33"/>
      <c r="O4298" s="11">
        <f>SUM(O4299)</f>
        <v>24</v>
      </c>
      <c r="P4298" s="185"/>
    </row>
    <row r="4299" spans="1:17" hidden="1" outlineLevel="1">
      <c r="E4299" s="29"/>
      <c r="F4299" s="21"/>
      <c r="G4299" s="34"/>
      <c r="H4299" s="30"/>
      <c r="I4299" s="35"/>
      <c r="J4299" s="41"/>
      <c r="K4299" s="10"/>
      <c r="L4299" s="32"/>
      <c r="M4299" s="10"/>
      <c r="N4299" s="33">
        <v>24</v>
      </c>
      <c r="O4299" s="31">
        <f>ROUND(PRODUCT(J4299:N4299),2)</f>
        <v>24</v>
      </c>
      <c r="P4299" s="185"/>
    </row>
    <row r="4300" spans="1:17" collapsed="1">
      <c r="E4300" s="42">
        <v>10</v>
      </c>
      <c r="F4300" s="43">
        <v>10</v>
      </c>
      <c r="G4300" s="13"/>
      <c r="H4300" s="14" t="s">
        <v>20</v>
      </c>
      <c r="I4300" s="15"/>
      <c r="J4300" s="16"/>
      <c r="K4300" s="17"/>
      <c r="L4300" s="16"/>
      <c r="M4300" s="17"/>
      <c r="N4300" s="18"/>
      <c r="O4300" s="19"/>
      <c r="P4300" s="185"/>
      <c r="Q4300" s="185"/>
    </row>
    <row r="4301" spans="1:17">
      <c r="A4301" s="2">
        <v>10</v>
      </c>
      <c r="B4301" s="2">
        <v>1</v>
      </c>
      <c r="E4301" s="42" t="str">
        <f>CONCATENATE(A4301,".",B4301)</f>
        <v>10.1</v>
      </c>
      <c r="F4301" s="45" t="s">
        <v>4935</v>
      </c>
      <c r="G4301" s="13"/>
      <c r="H4301" s="14" t="s">
        <v>1965</v>
      </c>
      <c r="I4301" s="15"/>
      <c r="J4301" s="16"/>
      <c r="K4301" s="17"/>
      <c r="L4301" s="16"/>
      <c r="M4301" s="17"/>
      <c r="N4301" s="18"/>
      <c r="O4301" s="19"/>
      <c r="P4301" s="185"/>
      <c r="Q4301" s="185"/>
    </row>
    <row r="4302" spans="1:17" ht="30" hidden="1" outlineLevel="1">
      <c r="A4302" s="2">
        <v>10</v>
      </c>
      <c r="B4302" s="2">
        <v>1</v>
      </c>
      <c r="C4302" s="2">
        <v>1</v>
      </c>
      <c r="D4302" s="2">
        <v>1</v>
      </c>
      <c r="E4302" s="20" t="str">
        <f>CONCATENATE(A4302,".",B4302,".",C4302,".",D4302)</f>
        <v>10.1.1.1</v>
      </c>
      <c r="F4302" s="21" t="s">
        <v>4936</v>
      </c>
      <c r="G4302" s="22" t="s">
        <v>1967</v>
      </c>
      <c r="H4302" s="23" t="s">
        <v>2821</v>
      </c>
      <c r="I4302" s="24" t="s">
        <v>144</v>
      </c>
      <c r="J4302" s="25"/>
      <c r="K4302" s="10"/>
      <c r="L4302" s="32"/>
      <c r="M4302" s="10"/>
      <c r="N4302" s="33"/>
      <c r="O4302" s="27">
        <f>SUM(O4303)</f>
        <v>139.4</v>
      </c>
      <c r="P4302" s="185"/>
      <c r="Q4302" s="185"/>
    </row>
    <row r="4303" spans="1:17" hidden="1" outlineLevel="2">
      <c r="E4303" s="20"/>
      <c r="F4303" s="21"/>
      <c r="G4303" s="34"/>
      <c r="H4303" s="30"/>
      <c r="I4303" s="35"/>
      <c r="J4303" s="25"/>
      <c r="K4303" s="33"/>
      <c r="L4303" s="41"/>
      <c r="M4303" s="33"/>
      <c r="N4303" s="33">
        <v>139.4</v>
      </c>
      <c r="O4303" s="31">
        <f>ROUND(PRODUCT(J4303:N4303),2)</f>
        <v>139.4</v>
      </c>
      <c r="P4303" s="185"/>
      <c r="Q4303" s="185"/>
    </row>
    <row r="4304" spans="1:17" ht="30" hidden="1" outlineLevel="1">
      <c r="A4304" s="2">
        <v>10</v>
      </c>
      <c r="B4304" s="2">
        <v>1</v>
      </c>
      <c r="C4304" s="2">
        <v>1</v>
      </c>
      <c r="D4304" s="2">
        <f>1+D4302</f>
        <v>2</v>
      </c>
      <c r="E4304" s="20" t="str">
        <f>CONCATENATE(A4304,".",B4304,".",C4304,".",D4304)</f>
        <v>10.1.1.2</v>
      </c>
      <c r="F4304" s="21" t="s">
        <v>4937</v>
      </c>
      <c r="G4304" s="22">
        <v>96525</v>
      </c>
      <c r="H4304" s="23" t="s">
        <v>1974</v>
      </c>
      <c r="I4304" s="24" t="s">
        <v>126</v>
      </c>
      <c r="J4304" s="25"/>
      <c r="K4304" s="10"/>
      <c r="L4304" s="32"/>
      <c r="M4304" s="10"/>
      <c r="N4304" s="33"/>
      <c r="O4304" s="27">
        <f>SUM(O4305:O4305)</f>
        <v>66.97</v>
      </c>
      <c r="P4304" s="185"/>
      <c r="Q4304" s="185"/>
    </row>
    <row r="4305" spans="1:17" hidden="1" outlineLevel="2">
      <c r="E4305" s="20"/>
      <c r="F4305" s="21"/>
      <c r="G4305" s="34"/>
      <c r="H4305" s="30"/>
      <c r="I4305" s="35"/>
      <c r="J4305" s="25"/>
      <c r="K4305" s="33"/>
      <c r="L4305" s="41"/>
      <c r="M4305" s="33"/>
      <c r="N4305" s="33">
        <v>66.97</v>
      </c>
      <c r="O4305" s="31">
        <f>ROUND(PRODUCT(J4305:N4305),2)</f>
        <v>66.97</v>
      </c>
      <c r="P4305" s="185"/>
      <c r="Q4305" s="185"/>
    </row>
    <row r="4306" spans="1:17" ht="45" hidden="1" outlineLevel="1">
      <c r="A4306" s="2">
        <v>10</v>
      </c>
      <c r="B4306" s="2">
        <v>1</v>
      </c>
      <c r="C4306" s="2">
        <v>1</v>
      </c>
      <c r="D4306" s="2" t="e">
        <f>1+#REF!</f>
        <v>#REF!</v>
      </c>
      <c r="E4306" s="20" t="e">
        <f>CONCATENATE(A4306,".",B4306,".",C4306,".",D4306)</f>
        <v>#REF!</v>
      </c>
      <c r="F4306" s="21" t="s">
        <v>4938</v>
      </c>
      <c r="G4306" s="113">
        <v>96521</v>
      </c>
      <c r="H4306" s="114" t="s">
        <v>1971</v>
      </c>
      <c r="I4306" s="115" t="s">
        <v>126</v>
      </c>
      <c r="J4306" s="25"/>
      <c r="K4306" s="10"/>
      <c r="L4306" s="32"/>
      <c r="M4306" s="10"/>
      <c r="N4306" s="33"/>
      <c r="O4306" s="27">
        <f>SUM(O4307:O4307)</f>
        <v>163.71</v>
      </c>
      <c r="P4306" s="185"/>
      <c r="Q4306" s="185"/>
    </row>
    <row r="4307" spans="1:17" hidden="1" outlineLevel="2">
      <c r="E4307" s="20"/>
      <c r="F4307" s="21"/>
      <c r="G4307" s="34"/>
      <c r="H4307" s="30"/>
      <c r="I4307" s="35"/>
      <c r="J4307" s="25"/>
      <c r="K4307" s="33"/>
      <c r="L4307" s="41"/>
      <c r="M4307" s="33"/>
      <c r="N4307" s="33">
        <v>163.71</v>
      </c>
      <c r="O4307" s="31">
        <f>ROUND(PRODUCT(J4307:N4307),2)</f>
        <v>163.71</v>
      </c>
      <c r="P4307" s="185"/>
      <c r="Q4307" s="185"/>
    </row>
    <row r="4308" spans="1:17" ht="30" hidden="1" outlineLevel="1">
      <c r="A4308" s="2">
        <v>10</v>
      </c>
      <c r="B4308" s="2">
        <v>1</v>
      </c>
      <c r="C4308" s="2">
        <v>1</v>
      </c>
      <c r="D4308" s="2" t="e">
        <f>1+D4306</f>
        <v>#REF!</v>
      </c>
      <c r="E4308" s="20" t="e">
        <f>CONCATENATE(A4308,".",B4308,".",C4308,".",D4308)</f>
        <v>#REF!</v>
      </c>
      <c r="F4308" s="21" t="s">
        <v>4939</v>
      </c>
      <c r="G4308" s="22">
        <v>96619</v>
      </c>
      <c r="H4308" s="23" t="s">
        <v>1977</v>
      </c>
      <c r="I4308" s="24" t="s">
        <v>45</v>
      </c>
      <c r="J4308" s="25"/>
      <c r="K4308" s="10"/>
      <c r="L4308" s="32"/>
      <c r="M4308" s="10"/>
      <c r="N4308" s="33"/>
      <c r="O4308" s="27">
        <f>SUM(O4309:O4309)</f>
        <v>65.03</v>
      </c>
      <c r="P4308" s="185"/>
      <c r="Q4308" s="185"/>
    </row>
    <row r="4309" spans="1:17" hidden="1" outlineLevel="2">
      <c r="E4309" s="20"/>
      <c r="F4309" s="21"/>
      <c r="G4309" s="34"/>
      <c r="H4309" s="30"/>
      <c r="I4309" s="35"/>
      <c r="J4309" s="25"/>
      <c r="K4309" s="33"/>
      <c r="L4309" s="41"/>
      <c r="M4309" s="33"/>
      <c r="N4309" s="33">
        <v>65.03</v>
      </c>
      <c r="O4309" s="31">
        <f>ROUND(PRODUCT(J4309:N4309),2)</f>
        <v>65.03</v>
      </c>
      <c r="P4309" s="185"/>
      <c r="Q4309" s="185"/>
    </row>
    <row r="4310" spans="1:17" ht="30" hidden="1" outlineLevel="1">
      <c r="A4310" s="2">
        <v>10</v>
      </c>
      <c r="B4310" s="2">
        <v>1</v>
      </c>
      <c r="C4310" s="2">
        <v>1</v>
      </c>
      <c r="D4310" s="2" t="e">
        <f>1+D4308</f>
        <v>#REF!</v>
      </c>
      <c r="E4310" s="20" t="e">
        <f>CONCATENATE(A4310,".",B4310,".",C4310,".",D4310)</f>
        <v>#REF!</v>
      </c>
      <c r="F4310" s="21" t="s">
        <v>4940</v>
      </c>
      <c r="G4310" s="22">
        <v>96535</v>
      </c>
      <c r="H4310" s="23" t="s">
        <v>1983</v>
      </c>
      <c r="I4310" s="24" t="s">
        <v>45</v>
      </c>
      <c r="J4310" s="25"/>
      <c r="K4310" s="10"/>
      <c r="L4310" s="32"/>
      <c r="M4310" s="10"/>
      <c r="N4310" s="33"/>
      <c r="O4310" s="27">
        <f>SUM(O4311:O4311)</f>
        <v>35.6</v>
      </c>
      <c r="P4310" s="185"/>
      <c r="Q4310" s="185"/>
    </row>
    <row r="4311" spans="1:17" hidden="1" outlineLevel="2">
      <c r="E4311" s="20"/>
      <c r="F4311" s="21"/>
      <c r="G4311" s="34"/>
      <c r="H4311" s="30"/>
      <c r="I4311" s="35"/>
      <c r="J4311" s="25"/>
      <c r="K4311" s="33"/>
      <c r="L4311" s="41"/>
      <c r="M4311" s="33"/>
      <c r="N4311" s="33">
        <v>35.6</v>
      </c>
      <c r="O4311" s="31">
        <f>ROUND(PRODUCT(J4311:N4311),2)</f>
        <v>35.6</v>
      </c>
      <c r="P4311" s="185"/>
      <c r="Q4311" s="185"/>
    </row>
    <row r="4312" spans="1:17" ht="30" hidden="1" outlineLevel="1">
      <c r="A4312" s="2">
        <v>10</v>
      </c>
      <c r="B4312" s="2">
        <v>1</v>
      </c>
      <c r="C4312" s="2">
        <v>1</v>
      </c>
      <c r="D4312" s="2" t="e">
        <f>1+D4310</f>
        <v>#REF!</v>
      </c>
      <c r="E4312" s="20" t="e">
        <f>CONCATENATE(A4312,".",B4312,".",C4312,".",D4312)</f>
        <v>#REF!</v>
      </c>
      <c r="F4312" s="21" t="s">
        <v>4941</v>
      </c>
      <c r="G4312" s="113">
        <v>104918</v>
      </c>
      <c r="H4312" s="114" t="s">
        <v>2012</v>
      </c>
      <c r="I4312" s="115" t="s">
        <v>80</v>
      </c>
      <c r="J4312" s="25"/>
      <c r="K4312" s="10"/>
      <c r="L4312" s="32"/>
      <c r="M4312" s="10"/>
      <c r="N4312" s="33"/>
      <c r="O4312" s="27">
        <f>SUM(O4313:O4314)</f>
        <v>826</v>
      </c>
      <c r="P4312" s="185"/>
      <c r="Q4312" s="185"/>
    </row>
    <row r="4313" spans="1:17" hidden="1" outlineLevel="2">
      <c r="E4313" s="20"/>
      <c r="F4313" s="21"/>
      <c r="G4313" s="34"/>
      <c r="H4313" s="30" t="s">
        <v>2823</v>
      </c>
      <c r="I4313" s="35"/>
      <c r="J4313" s="25"/>
      <c r="K4313" s="33"/>
      <c r="L4313" s="41"/>
      <c r="M4313" s="33"/>
      <c r="N4313" s="33">
        <v>336.91</v>
      </c>
      <c r="O4313" s="31">
        <f>ROUND(PRODUCT(J4313:N4313),2)</f>
        <v>336.91</v>
      </c>
      <c r="P4313" s="185"/>
      <c r="Q4313" s="185"/>
    </row>
    <row r="4314" spans="1:17" hidden="1" outlineLevel="2">
      <c r="E4314" s="20"/>
      <c r="F4314" s="21"/>
      <c r="G4314" s="34"/>
      <c r="H4314" s="30" t="s">
        <v>2825</v>
      </c>
      <c r="I4314" s="35"/>
      <c r="J4314" s="25"/>
      <c r="K4314" s="33"/>
      <c r="L4314" s="41"/>
      <c r="M4314" s="33"/>
      <c r="N4314" s="33">
        <v>489.09</v>
      </c>
      <c r="O4314" s="31">
        <f>ROUND(PRODUCT(J4314:N4314),2)</f>
        <v>489.09</v>
      </c>
      <c r="P4314" s="185"/>
      <c r="Q4314" s="185"/>
    </row>
    <row r="4315" spans="1:17" ht="30" hidden="1" outlineLevel="2">
      <c r="E4315" s="20"/>
      <c r="F4315" s="21" t="s">
        <v>4942</v>
      </c>
      <c r="G4315" s="113">
        <v>92759</v>
      </c>
      <c r="H4315" s="114" t="s">
        <v>79</v>
      </c>
      <c r="I4315" s="115" t="s">
        <v>80</v>
      </c>
      <c r="J4315" s="25"/>
      <c r="K4315" s="10"/>
      <c r="L4315" s="32"/>
      <c r="M4315" s="10"/>
      <c r="N4315" s="33"/>
      <c r="O4315" s="27">
        <f>SUM(O4316:O4316)</f>
        <v>114</v>
      </c>
      <c r="P4315" s="185"/>
      <c r="Q4315" s="185"/>
    </row>
    <row r="4316" spans="1:17" hidden="1" outlineLevel="2">
      <c r="E4316" s="20"/>
      <c r="F4316" s="21"/>
      <c r="G4316" s="136"/>
      <c r="H4316" s="118"/>
      <c r="I4316" s="140"/>
      <c r="J4316" s="25"/>
      <c r="K4316" s="33"/>
      <c r="L4316" s="41"/>
      <c r="M4316" s="33"/>
      <c r="N4316" s="33">
        <v>114</v>
      </c>
      <c r="O4316" s="31">
        <f>ROUND(PRODUCT(J4316:N4316),2)</f>
        <v>114</v>
      </c>
      <c r="P4316" s="185"/>
      <c r="Q4316" s="185"/>
    </row>
    <row r="4317" spans="1:17" ht="30" hidden="1" outlineLevel="2">
      <c r="E4317" s="20"/>
      <c r="F4317" s="21" t="s">
        <v>4943</v>
      </c>
      <c r="G4317" s="113">
        <v>92762</v>
      </c>
      <c r="H4317" s="114" t="s">
        <v>89</v>
      </c>
      <c r="I4317" s="115" t="s">
        <v>80</v>
      </c>
      <c r="J4317" s="25"/>
      <c r="K4317" s="10"/>
      <c r="L4317" s="32"/>
      <c r="M4317" s="10"/>
      <c r="N4317" s="33"/>
      <c r="O4317" s="27">
        <f>SUM(O4318:O4318)</f>
        <v>122.18</v>
      </c>
      <c r="P4317" s="185"/>
      <c r="Q4317" s="185"/>
    </row>
    <row r="4318" spans="1:17" hidden="1" outlineLevel="2">
      <c r="E4318" s="20"/>
      <c r="F4318" s="21"/>
      <c r="G4318" s="34"/>
      <c r="H4318" s="30"/>
      <c r="I4318" s="35"/>
      <c r="J4318" s="25"/>
      <c r="K4318" s="33"/>
      <c r="L4318" s="41"/>
      <c r="M4318" s="33"/>
      <c r="N4318" s="33">
        <v>122.18</v>
      </c>
      <c r="O4318" s="31">
        <f>ROUND(PRODUCT(J4318:N4318),2)</f>
        <v>122.18</v>
      </c>
      <c r="P4318" s="185"/>
      <c r="Q4318" s="185"/>
    </row>
    <row r="4319" spans="1:17" ht="30" hidden="1" outlineLevel="2">
      <c r="E4319" s="20"/>
      <c r="F4319" s="21" t="s">
        <v>4944</v>
      </c>
      <c r="G4319" s="113">
        <v>92763</v>
      </c>
      <c r="H4319" s="114" t="s">
        <v>92</v>
      </c>
      <c r="I4319" s="115" t="s">
        <v>80</v>
      </c>
      <c r="J4319" s="25"/>
      <c r="K4319" s="10"/>
      <c r="L4319" s="32"/>
      <c r="M4319" s="10"/>
      <c r="N4319" s="33"/>
      <c r="O4319" s="27">
        <f>SUM(O4320:O4320)</f>
        <v>355.92</v>
      </c>
      <c r="P4319" s="185"/>
      <c r="Q4319" s="185"/>
    </row>
    <row r="4320" spans="1:17" hidden="1" outlineLevel="2">
      <c r="E4320" s="20"/>
      <c r="F4320" s="21"/>
      <c r="G4320" s="34"/>
      <c r="H4320" s="30"/>
      <c r="I4320" s="35"/>
      <c r="J4320" s="25"/>
      <c r="K4320" s="33"/>
      <c r="L4320" s="41"/>
      <c r="M4320" s="33"/>
      <c r="N4320" s="33">
        <v>355.92</v>
      </c>
      <c r="O4320" s="31">
        <f>ROUND(PRODUCT(J4320:N4320),2)</f>
        <v>355.92</v>
      </c>
      <c r="P4320" s="185"/>
      <c r="Q4320" s="185"/>
    </row>
    <row r="4321" spans="5:17" ht="30" hidden="1" outlineLevel="2">
      <c r="E4321" s="20"/>
      <c r="F4321" s="21" t="s">
        <v>4945</v>
      </c>
      <c r="G4321" s="113">
        <v>104916</v>
      </c>
      <c r="H4321" s="114" t="s">
        <v>1992</v>
      </c>
      <c r="I4321" s="115" t="s">
        <v>80</v>
      </c>
      <c r="J4321" s="25"/>
      <c r="K4321" s="10"/>
      <c r="L4321" s="32"/>
      <c r="M4321" s="10"/>
      <c r="N4321" s="33"/>
      <c r="O4321" s="27">
        <f>SUM(O4322:O4322)</f>
        <v>279.45</v>
      </c>
      <c r="P4321" s="185"/>
      <c r="Q4321" s="185"/>
    </row>
    <row r="4322" spans="5:17" hidden="1" outlineLevel="2">
      <c r="E4322" s="20"/>
      <c r="F4322" s="21"/>
      <c r="G4322" s="34"/>
      <c r="H4322" s="30" t="s">
        <v>2825</v>
      </c>
      <c r="I4322" s="35"/>
      <c r="J4322" s="25"/>
      <c r="K4322" s="33"/>
      <c r="L4322" s="41"/>
      <c r="M4322" s="33"/>
      <c r="N4322" s="33">
        <v>279.45</v>
      </c>
      <c r="O4322" s="31">
        <f>ROUND(PRODUCT(J4322:N4322),2)</f>
        <v>279.45</v>
      </c>
      <c r="P4322" s="185"/>
      <c r="Q4322" s="185"/>
    </row>
    <row r="4323" spans="5:17" ht="30" hidden="1" outlineLevel="2">
      <c r="E4323" s="20"/>
      <c r="F4323" s="21" t="s">
        <v>4946</v>
      </c>
      <c r="G4323" s="22">
        <v>96558</v>
      </c>
      <c r="H4323" s="23" t="s">
        <v>2018</v>
      </c>
      <c r="I4323" s="24" t="s">
        <v>126</v>
      </c>
      <c r="J4323" s="25"/>
      <c r="K4323" s="10"/>
      <c r="L4323" s="32"/>
      <c r="M4323" s="10"/>
      <c r="N4323" s="33"/>
      <c r="O4323" s="27">
        <f>SUM(O4324:O4324)</f>
        <v>11.5</v>
      </c>
      <c r="P4323" s="185"/>
      <c r="Q4323" s="185"/>
    </row>
    <row r="4324" spans="5:17" hidden="1" outlineLevel="2">
      <c r="E4324" s="20"/>
      <c r="F4324" s="21"/>
      <c r="G4324" s="34"/>
      <c r="H4324" s="30"/>
      <c r="I4324" s="35"/>
      <c r="J4324" s="25"/>
      <c r="K4324" s="33"/>
      <c r="L4324" s="41"/>
      <c r="M4324" s="33"/>
      <c r="N4324" s="33">
        <v>11.5</v>
      </c>
      <c r="O4324" s="31">
        <f>ROUND(PRODUCT(J4324:N4324),2)</f>
        <v>11.5</v>
      </c>
      <c r="P4324" s="185"/>
      <c r="Q4324" s="185"/>
    </row>
    <row r="4325" spans="5:17" ht="30" hidden="1" outlineLevel="2">
      <c r="E4325" s="20"/>
      <c r="F4325" s="21" t="s">
        <v>4947</v>
      </c>
      <c r="G4325" s="22">
        <v>96536</v>
      </c>
      <c r="H4325" s="23" t="s">
        <v>1986</v>
      </c>
      <c r="I4325" s="24" t="s">
        <v>45</v>
      </c>
      <c r="J4325" s="25"/>
      <c r="K4325" s="10"/>
      <c r="L4325" s="32"/>
      <c r="M4325" s="10"/>
      <c r="N4325" s="33"/>
      <c r="O4325" s="27">
        <f>SUM(O4326:O4326)</f>
        <v>297.10000000000002</v>
      </c>
      <c r="P4325" s="185"/>
      <c r="Q4325" s="185"/>
    </row>
    <row r="4326" spans="5:17" hidden="1" outlineLevel="2">
      <c r="E4326" s="20"/>
      <c r="F4326" s="21"/>
      <c r="G4326" s="34"/>
      <c r="H4326" s="30"/>
      <c r="I4326" s="35"/>
      <c r="J4326" s="25"/>
      <c r="K4326" s="33"/>
      <c r="L4326" s="41"/>
      <c r="M4326" s="33"/>
      <c r="N4326" s="33">
        <v>297.10000000000002</v>
      </c>
      <c r="O4326" s="31">
        <f>ROUND(PRODUCT(J4326:N4326),2)</f>
        <v>297.10000000000002</v>
      </c>
      <c r="P4326" s="185"/>
      <c r="Q4326" s="185"/>
    </row>
    <row r="4327" spans="5:17" ht="30" hidden="1" outlineLevel="2">
      <c r="E4327" s="20"/>
      <c r="F4327" s="21" t="s">
        <v>4948</v>
      </c>
      <c r="G4327" s="113">
        <v>104919</v>
      </c>
      <c r="H4327" s="114" t="s">
        <v>2001</v>
      </c>
      <c r="I4327" s="115" t="s">
        <v>80</v>
      </c>
      <c r="J4327" s="25"/>
      <c r="K4327" s="10"/>
      <c r="L4327" s="32"/>
      <c r="M4327" s="10"/>
      <c r="N4327" s="33"/>
      <c r="O4327" s="27">
        <f>SUM(O4328:O4328)</f>
        <v>168.46</v>
      </c>
      <c r="P4327" s="185"/>
      <c r="Q4327" s="185"/>
    </row>
    <row r="4328" spans="5:17" hidden="1" outlineLevel="2">
      <c r="E4328" s="20"/>
      <c r="F4328" s="21"/>
      <c r="G4328" s="34"/>
      <c r="H4328" s="30"/>
      <c r="I4328" s="35"/>
      <c r="J4328" s="25"/>
      <c r="K4328" s="33"/>
      <c r="L4328" s="41"/>
      <c r="M4328" s="33"/>
      <c r="N4328" s="33">
        <v>168.46</v>
      </c>
      <c r="O4328" s="31">
        <f>ROUND(PRODUCT(J4328:N4328),2)</f>
        <v>168.46</v>
      </c>
      <c r="P4328" s="185"/>
      <c r="Q4328" s="185"/>
    </row>
    <row r="4329" spans="5:17" ht="30" hidden="1" outlineLevel="2">
      <c r="E4329" s="20"/>
      <c r="F4329" s="21" t="s">
        <v>4949</v>
      </c>
      <c r="G4329" s="113">
        <v>104920</v>
      </c>
      <c r="H4329" s="114" t="s">
        <v>2004</v>
      </c>
      <c r="I4329" s="115" t="s">
        <v>80</v>
      </c>
      <c r="J4329" s="25"/>
      <c r="K4329" s="10"/>
      <c r="L4329" s="32"/>
      <c r="M4329" s="10"/>
      <c r="N4329" s="33"/>
      <c r="O4329" s="27">
        <f>SUM(O4330:O4330)</f>
        <v>218.37</v>
      </c>
      <c r="P4329" s="185"/>
      <c r="Q4329" s="185"/>
    </row>
    <row r="4330" spans="5:17" hidden="1" outlineLevel="2">
      <c r="E4330" s="20"/>
      <c r="F4330" s="21"/>
      <c r="G4330" s="34"/>
      <c r="H4330" s="30"/>
      <c r="I4330" s="35"/>
      <c r="J4330" s="25"/>
      <c r="K4330" s="33"/>
      <c r="L4330" s="41"/>
      <c r="M4330" s="33"/>
      <c r="N4330" s="33">
        <v>218.37</v>
      </c>
      <c r="O4330" s="31">
        <f>ROUND(PRODUCT(J4330:N4330),2)</f>
        <v>218.37</v>
      </c>
      <c r="P4330" s="185"/>
      <c r="Q4330" s="185"/>
    </row>
    <row r="4331" spans="5:17" ht="45" hidden="1" outlineLevel="2">
      <c r="E4331" s="20"/>
      <c r="F4331" s="21" t="s">
        <v>4950</v>
      </c>
      <c r="G4331" s="113">
        <v>92439</v>
      </c>
      <c r="H4331" s="114" t="s">
        <v>1989</v>
      </c>
      <c r="I4331" s="115" t="s">
        <v>45</v>
      </c>
      <c r="J4331" s="25"/>
      <c r="K4331" s="10"/>
      <c r="L4331" s="32"/>
      <c r="M4331" s="10"/>
      <c r="N4331" s="33"/>
      <c r="O4331" s="27">
        <f>SUM(O4332:O4332)</f>
        <v>76.8</v>
      </c>
      <c r="P4331" s="185"/>
      <c r="Q4331" s="185"/>
    </row>
    <row r="4332" spans="5:17" hidden="1" outlineLevel="2">
      <c r="E4332" s="20"/>
      <c r="F4332" s="21"/>
      <c r="G4332" s="34"/>
      <c r="H4332" s="30"/>
      <c r="I4332" s="35"/>
      <c r="J4332" s="25"/>
      <c r="K4332" s="33"/>
      <c r="L4332" s="41"/>
      <c r="M4332" s="33"/>
      <c r="N4332" s="33">
        <v>76.8</v>
      </c>
      <c r="O4332" s="31">
        <f>ROUND(PRODUCT(J4332:N4332),2)</f>
        <v>76.8</v>
      </c>
      <c r="P4332" s="185"/>
      <c r="Q4332" s="185"/>
    </row>
    <row r="4333" spans="5:17" ht="45" hidden="1" outlineLevel="2">
      <c r="E4333" s="20"/>
      <c r="F4333" s="21" t="s">
        <v>4951</v>
      </c>
      <c r="G4333" s="113">
        <v>604</v>
      </c>
      <c r="H4333" s="114" t="s">
        <v>2846</v>
      </c>
      <c r="I4333" s="115" t="s">
        <v>276</v>
      </c>
      <c r="J4333" s="25"/>
      <c r="K4333" s="10"/>
      <c r="L4333" s="32"/>
      <c r="M4333" s="10"/>
      <c r="N4333" s="33"/>
      <c r="O4333" s="27">
        <f>SUM(O4334:O4334)</f>
        <v>5.2</v>
      </c>
      <c r="P4333" s="185"/>
      <c r="Q4333" s="185"/>
    </row>
    <row r="4334" spans="5:17" hidden="1" outlineLevel="2">
      <c r="E4334" s="20"/>
      <c r="F4334" s="21"/>
      <c r="G4334" s="136"/>
      <c r="H4334" s="118" t="s">
        <v>2847</v>
      </c>
      <c r="I4334" s="137"/>
      <c r="J4334" s="25"/>
      <c r="K4334" s="33"/>
      <c r="L4334" s="41"/>
      <c r="M4334" s="33"/>
      <c r="N4334" s="33">
        <v>5.2</v>
      </c>
      <c r="O4334" s="31">
        <f>ROUND(PRODUCT(J4334:N4334),2)</f>
        <v>5.2</v>
      </c>
      <c r="P4334" s="185"/>
      <c r="Q4334" s="185"/>
    </row>
    <row r="4335" spans="5:17" ht="30" hidden="1" outlineLevel="2">
      <c r="E4335" s="20"/>
      <c r="F4335" s="21" t="s">
        <v>4952</v>
      </c>
      <c r="G4335" s="22">
        <v>96557</v>
      </c>
      <c r="H4335" s="23" t="s">
        <v>1980</v>
      </c>
      <c r="I4335" s="24" t="s">
        <v>126</v>
      </c>
      <c r="J4335" s="25"/>
      <c r="K4335" s="10"/>
      <c r="L4335" s="32"/>
      <c r="M4335" s="10"/>
      <c r="N4335" s="33"/>
      <c r="O4335" s="27">
        <f>SUM(O4336:O4336)</f>
        <v>22.7</v>
      </c>
      <c r="P4335" s="185"/>
      <c r="Q4335" s="185"/>
    </row>
    <row r="4336" spans="5:17" hidden="1" outlineLevel="2">
      <c r="E4336" s="20"/>
      <c r="F4336" s="21"/>
      <c r="G4336" s="34"/>
      <c r="H4336" s="30"/>
      <c r="I4336" s="35"/>
      <c r="J4336" s="25"/>
      <c r="K4336" s="33"/>
      <c r="L4336" s="41"/>
      <c r="M4336" s="33"/>
      <c r="N4336" s="33">
        <v>22.7</v>
      </c>
      <c r="O4336" s="31">
        <f>ROUND(PRODUCT(J4336:N4336),2)</f>
        <v>22.7</v>
      </c>
      <c r="P4336" s="185"/>
      <c r="Q4336" s="185"/>
    </row>
    <row r="4337" spans="1:17" collapsed="1">
      <c r="A4337" s="2">
        <v>10</v>
      </c>
      <c r="B4337" s="2">
        <v>2</v>
      </c>
      <c r="E4337" s="42" t="str">
        <f>CONCATENATE(A4337,".",B4337)</f>
        <v>10.2</v>
      </c>
      <c r="F4337" s="45" t="s">
        <v>4953</v>
      </c>
      <c r="G4337" s="13"/>
      <c r="H4337" s="14" t="s">
        <v>76</v>
      </c>
      <c r="I4337" s="15"/>
      <c r="J4337" s="16"/>
      <c r="K4337" s="17"/>
      <c r="L4337" s="16"/>
      <c r="M4337" s="17"/>
      <c r="N4337" s="18"/>
      <c r="O4337" s="19"/>
      <c r="P4337" s="185"/>
      <c r="Q4337" s="185"/>
    </row>
    <row r="4338" spans="1:17" ht="45" hidden="1" outlineLevel="1">
      <c r="A4338" s="2">
        <v>10</v>
      </c>
      <c r="B4338" s="2">
        <v>2</v>
      </c>
      <c r="C4338" s="2">
        <v>1</v>
      </c>
      <c r="D4338" s="2">
        <v>1</v>
      </c>
      <c r="E4338" s="20" t="str">
        <f>CONCATENATE(A4338,".",B4338,".",C4338,".",D4338)</f>
        <v>10.2.1.1</v>
      </c>
      <c r="F4338" s="21" t="s">
        <v>4954</v>
      </c>
      <c r="G4338" s="22">
        <v>92443</v>
      </c>
      <c r="H4338" s="23" t="s">
        <v>101</v>
      </c>
      <c r="I4338" s="24" t="s">
        <v>45</v>
      </c>
      <c r="J4338" s="25"/>
      <c r="K4338" s="10"/>
      <c r="L4338" s="32"/>
      <c r="M4338" s="10"/>
      <c r="N4338" s="33"/>
      <c r="O4338" s="27">
        <f>SUM(O4339:O4339)</f>
        <v>275.10000000000002</v>
      </c>
      <c r="P4338" s="185"/>
      <c r="Q4338" s="185"/>
    </row>
    <row r="4339" spans="1:17" hidden="1" outlineLevel="2">
      <c r="E4339" s="20"/>
      <c r="F4339" s="21"/>
      <c r="G4339" s="34"/>
      <c r="H4339" s="30"/>
      <c r="I4339" s="35"/>
      <c r="J4339" s="25"/>
      <c r="K4339" s="33"/>
      <c r="L4339" s="41"/>
      <c r="M4339" s="33"/>
      <c r="N4339" s="33">
        <v>275.10000000000002</v>
      </c>
      <c r="O4339" s="31">
        <f>ROUND(PRODUCT(J4339:N4339),2)</f>
        <v>275.10000000000002</v>
      </c>
      <c r="P4339" s="185"/>
      <c r="Q4339" s="185"/>
    </row>
    <row r="4340" spans="1:17" ht="30" hidden="1" outlineLevel="1">
      <c r="A4340" s="2">
        <v>10</v>
      </c>
      <c r="B4340" s="2">
        <v>2</v>
      </c>
      <c r="C4340" s="2">
        <v>1</v>
      </c>
      <c r="D4340" s="2">
        <f>1+D4338</f>
        <v>2</v>
      </c>
      <c r="E4340" s="20" t="str">
        <f>CONCATENATE(A4340,".",B4340,".",C4340,".",D4340)</f>
        <v>10.2.1.2</v>
      </c>
      <c r="F4340" s="21" t="s">
        <v>4955</v>
      </c>
      <c r="G4340" s="113" t="s">
        <v>78</v>
      </c>
      <c r="H4340" s="114" t="s">
        <v>79</v>
      </c>
      <c r="I4340" s="115" t="s">
        <v>80</v>
      </c>
      <c r="J4340" s="131"/>
      <c r="K4340" s="132"/>
      <c r="L4340" s="133"/>
      <c r="M4340" s="132"/>
      <c r="N4340" s="134"/>
      <c r="O4340" s="135">
        <f>SUM(O4341:O4342)</f>
        <v>723.81999999999994</v>
      </c>
      <c r="P4340" s="185"/>
      <c r="Q4340" s="185"/>
    </row>
    <row r="4341" spans="1:17" hidden="1" outlineLevel="2">
      <c r="E4341" s="20"/>
      <c r="F4341" s="21"/>
      <c r="G4341" s="136"/>
      <c r="H4341" s="118" t="s">
        <v>2847</v>
      </c>
      <c r="I4341" s="137"/>
      <c r="J4341" s="146"/>
      <c r="K4341" s="138"/>
      <c r="L4341" s="134"/>
      <c r="M4341" s="140"/>
      <c r="N4341" s="134">
        <v>402.37</v>
      </c>
      <c r="O4341" s="139">
        <f>ROUND(PRODUCT(J4341:N4341),2)</f>
        <v>402.37</v>
      </c>
      <c r="P4341" s="185"/>
      <c r="Q4341" s="185"/>
    </row>
    <row r="4342" spans="1:17" hidden="1" outlineLevel="2">
      <c r="E4342" s="20"/>
      <c r="F4342" s="21"/>
      <c r="G4342" s="136"/>
      <c r="H4342" s="118" t="s">
        <v>2852</v>
      </c>
      <c r="I4342" s="137"/>
      <c r="J4342" s="146"/>
      <c r="K4342" s="138"/>
      <c r="L4342" s="134"/>
      <c r="M4342" s="140"/>
      <c r="N4342" s="134">
        <v>321.45</v>
      </c>
      <c r="O4342" s="139">
        <f>ROUND(PRODUCT(J4342:N4342),2)</f>
        <v>321.45</v>
      </c>
      <c r="P4342" s="185"/>
      <c r="Q4342" s="185"/>
    </row>
    <row r="4343" spans="1:17" ht="30" hidden="1" outlineLevel="1">
      <c r="A4343" s="2">
        <v>10</v>
      </c>
      <c r="B4343" s="2">
        <v>2</v>
      </c>
      <c r="C4343" s="2">
        <v>1</v>
      </c>
      <c r="D4343" s="2">
        <f>1+D4340</f>
        <v>3</v>
      </c>
      <c r="E4343" s="20" t="str">
        <f>CONCATENATE(A4343,".",B4343,".",C4343,".",D4343)</f>
        <v>10.2.1.3</v>
      </c>
      <c r="F4343" s="21" t="s">
        <v>4956</v>
      </c>
      <c r="G4343" s="113" t="s">
        <v>88</v>
      </c>
      <c r="H4343" s="114" t="s">
        <v>89</v>
      </c>
      <c r="I4343" s="115" t="s">
        <v>80</v>
      </c>
      <c r="J4343" s="147"/>
      <c r="K4343" s="132"/>
      <c r="L4343" s="133"/>
      <c r="M4343" s="142"/>
      <c r="N4343" s="134"/>
      <c r="O4343" s="135">
        <f>SUM(O4344:O4345)</f>
        <v>843.28</v>
      </c>
      <c r="P4343" s="185"/>
      <c r="Q4343" s="185"/>
    </row>
    <row r="4344" spans="1:17" hidden="1" outlineLevel="2">
      <c r="E4344" s="20"/>
      <c r="F4344" s="21"/>
      <c r="G4344" s="136"/>
      <c r="H4344" s="118" t="s">
        <v>2847</v>
      </c>
      <c r="I4344" s="137"/>
      <c r="J4344" s="146"/>
      <c r="K4344" s="138"/>
      <c r="L4344" s="134"/>
      <c r="M4344" s="140"/>
      <c r="N4344" s="134">
        <v>192.73</v>
      </c>
      <c r="O4344" s="139">
        <f>ROUND(PRODUCT(J4344:N4344),2)</f>
        <v>192.73</v>
      </c>
      <c r="P4344" s="185"/>
      <c r="Q4344" s="185"/>
    </row>
    <row r="4345" spans="1:17" hidden="1" outlineLevel="2">
      <c r="E4345" s="20"/>
      <c r="F4345" s="21"/>
      <c r="G4345" s="136"/>
      <c r="H4345" s="118" t="s">
        <v>2852</v>
      </c>
      <c r="I4345" s="137"/>
      <c r="J4345" s="146"/>
      <c r="K4345" s="138"/>
      <c r="L4345" s="134"/>
      <c r="M4345" s="140"/>
      <c r="N4345" s="134">
        <v>650.54999999999995</v>
      </c>
      <c r="O4345" s="139">
        <f>ROUND(PRODUCT(J4345:N4345),2)</f>
        <v>650.54999999999995</v>
      </c>
      <c r="P4345" s="185"/>
      <c r="Q4345" s="185"/>
    </row>
    <row r="4346" spans="1:17" ht="30" hidden="1" outlineLevel="2">
      <c r="E4346" s="20"/>
      <c r="F4346" s="21" t="s">
        <v>4957</v>
      </c>
      <c r="G4346" s="113" t="s">
        <v>91</v>
      </c>
      <c r="H4346" s="114" t="s">
        <v>92</v>
      </c>
      <c r="I4346" s="115" t="s">
        <v>80</v>
      </c>
      <c r="J4346" s="147"/>
      <c r="K4346" s="132"/>
      <c r="L4346" s="133"/>
      <c r="M4346" s="142"/>
      <c r="N4346" s="134"/>
      <c r="O4346" s="135">
        <f>SUM(O4347:O4348)</f>
        <v>1300.3699999999999</v>
      </c>
      <c r="P4346" s="185"/>
      <c r="Q4346" s="185"/>
    </row>
    <row r="4347" spans="1:17" hidden="1" outlineLevel="1">
      <c r="A4347" s="2">
        <v>10</v>
      </c>
      <c r="B4347" s="2">
        <v>2</v>
      </c>
      <c r="C4347" s="2">
        <v>1</v>
      </c>
      <c r="D4347" s="2" t="e">
        <f>1+#REF!</f>
        <v>#REF!</v>
      </c>
      <c r="E4347" s="20" t="e">
        <f>CONCATENATE(A4347,".",B4347,".",C4347,".",D4347)</f>
        <v>#REF!</v>
      </c>
      <c r="F4347" s="21"/>
      <c r="G4347" s="136"/>
      <c r="H4347" s="118" t="s">
        <v>2847</v>
      </c>
      <c r="I4347" s="137"/>
      <c r="J4347" s="146"/>
      <c r="K4347" s="138"/>
      <c r="L4347" s="134"/>
      <c r="M4347" s="140"/>
      <c r="N4347" s="134">
        <v>1104</v>
      </c>
      <c r="O4347" s="139">
        <f>ROUND(PRODUCT(J4347:N4347),2)</f>
        <v>1104</v>
      </c>
      <c r="P4347" s="185"/>
      <c r="Q4347" s="185"/>
    </row>
    <row r="4348" spans="1:17" hidden="1" outlineLevel="1">
      <c r="E4348" s="20"/>
      <c r="F4348" s="21"/>
      <c r="G4348" s="136"/>
      <c r="H4348" s="118" t="s">
        <v>2852</v>
      </c>
      <c r="I4348" s="137"/>
      <c r="J4348" s="146"/>
      <c r="K4348" s="138"/>
      <c r="L4348" s="134"/>
      <c r="M4348" s="140"/>
      <c r="N4348" s="134">
        <v>196.37</v>
      </c>
      <c r="O4348" s="139">
        <f>ROUND(PRODUCT(J4348:N4348),2)</f>
        <v>196.37</v>
      </c>
      <c r="P4348" s="185"/>
      <c r="Q4348" s="185"/>
    </row>
    <row r="4349" spans="1:17" ht="30" hidden="1" outlineLevel="1">
      <c r="A4349" s="2">
        <v>10</v>
      </c>
      <c r="B4349" s="2">
        <v>2</v>
      </c>
      <c r="C4349" s="2">
        <v>1</v>
      </c>
      <c r="D4349" s="2" t="e">
        <f>1+D4347</f>
        <v>#REF!</v>
      </c>
      <c r="E4349" s="20" t="e">
        <f>CONCATENATE(A4349,".",B4349,".",C4349,".",D4349)</f>
        <v>#REF!</v>
      </c>
      <c r="F4349" s="21" t="s">
        <v>4958</v>
      </c>
      <c r="G4349" s="22">
        <v>95943</v>
      </c>
      <c r="H4349" s="23" t="s">
        <v>1680</v>
      </c>
      <c r="I4349" s="115" t="s">
        <v>80</v>
      </c>
      <c r="J4349" s="25"/>
      <c r="K4349" s="10"/>
      <c r="L4349" s="32"/>
      <c r="M4349" s="10"/>
      <c r="N4349" s="33"/>
      <c r="O4349" s="27">
        <f>SUM(O4350:O4350)</f>
        <v>0.18</v>
      </c>
      <c r="P4349" s="185"/>
      <c r="Q4349" s="185"/>
    </row>
    <row r="4350" spans="1:17" hidden="1" outlineLevel="2">
      <c r="E4350" s="20"/>
      <c r="F4350" s="21"/>
      <c r="G4350" s="34"/>
      <c r="H4350" s="30"/>
      <c r="I4350" s="35"/>
      <c r="J4350" s="25"/>
      <c r="K4350" s="33"/>
      <c r="L4350" s="41"/>
      <c r="M4350" s="33"/>
      <c r="N4350" s="33">
        <v>0.18</v>
      </c>
      <c r="O4350" s="31">
        <f>ROUND(PRODUCT(J4350:N4350),2)</f>
        <v>0.18</v>
      </c>
      <c r="P4350" s="185"/>
      <c r="Q4350" s="185"/>
    </row>
    <row r="4351" spans="1:17" ht="45" hidden="1" outlineLevel="1">
      <c r="A4351" s="2">
        <v>10</v>
      </c>
      <c r="B4351" s="2">
        <v>2</v>
      </c>
      <c r="C4351" s="2">
        <v>2</v>
      </c>
      <c r="D4351" s="2">
        <v>1</v>
      </c>
      <c r="E4351" s="20" t="str">
        <f>CONCATENATE(A4351,".",B4351,".",C4351,".",D4351)</f>
        <v>10.2.2.1</v>
      </c>
      <c r="F4351" s="21" t="s">
        <v>4959</v>
      </c>
      <c r="G4351" s="22">
        <v>92479</v>
      </c>
      <c r="H4351" s="23" t="s">
        <v>104</v>
      </c>
      <c r="I4351" s="24" t="s">
        <v>45</v>
      </c>
      <c r="J4351" s="25"/>
      <c r="K4351" s="10"/>
      <c r="L4351" s="32"/>
      <c r="M4351" s="10"/>
      <c r="N4351" s="33"/>
      <c r="O4351" s="27">
        <f>SUM(O4352:O4352)</f>
        <v>374.5</v>
      </c>
      <c r="P4351" s="185"/>
      <c r="Q4351" s="185"/>
    </row>
    <row r="4352" spans="1:17" hidden="1" outlineLevel="2">
      <c r="E4352" s="20"/>
      <c r="F4352" s="21"/>
      <c r="G4352" s="34"/>
      <c r="H4352" s="30"/>
      <c r="I4352" s="35"/>
      <c r="J4352" s="25"/>
      <c r="K4352" s="33"/>
      <c r="L4352" s="41"/>
      <c r="M4352" s="33"/>
      <c r="N4352" s="33">
        <v>374.5</v>
      </c>
      <c r="O4352" s="31">
        <f>ROUND(PRODUCT(J4352:N4352),2)</f>
        <v>374.5</v>
      </c>
      <c r="P4352" s="185"/>
      <c r="Q4352" s="185"/>
    </row>
    <row r="4353" spans="1:17" ht="30" hidden="1" outlineLevel="1">
      <c r="A4353" s="2">
        <v>10</v>
      </c>
      <c r="B4353" s="2">
        <v>2</v>
      </c>
      <c r="C4353" s="2">
        <v>2</v>
      </c>
      <c r="D4353" s="2">
        <f>1+D4351</f>
        <v>2</v>
      </c>
      <c r="E4353" s="20" t="str">
        <f>CONCATENATE(A4353,".",B4353,".",C4353,".",D4353)</f>
        <v>10.2.2.2</v>
      </c>
      <c r="F4353" s="21" t="s">
        <v>4960</v>
      </c>
      <c r="G4353" s="113" t="s">
        <v>82</v>
      </c>
      <c r="H4353" s="114" t="s">
        <v>83</v>
      </c>
      <c r="I4353" s="115" t="s">
        <v>80</v>
      </c>
      <c r="J4353" s="147"/>
      <c r="K4353" s="132"/>
      <c r="L4353" s="133"/>
      <c r="M4353" s="142"/>
      <c r="N4353" s="134"/>
      <c r="O4353" s="135">
        <f>SUM(O4354:O4354)</f>
        <v>3.73</v>
      </c>
      <c r="P4353" s="185"/>
      <c r="Q4353" s="185"/>
    </row>
    <row r="4354" spans="1:17" hidden="1" outlineLevel="2">
      <c r="E4354" s="20"/>
      <c r="F4354" s="21"/>
      <c r="G4354" s="136"/>
      <c r="H4354" s="118" t="s">
        <v>2852</v>
      </c>
      <c r="I4354" s="137"/>
      <c r="J4354" s="146"/>
      <c r="K4354" s="138"/>
      <c r="L4354" s="134"/>
      <c r="M4354" s="140"/>
      <c r="N4354" s="134">
        <v>3.73</v>
      </c>
      <c r="O4354" s="139">
        <f>ROUND(PRODUCT(J4354:N4354),2)</f>
        <v>3.73</v>
      </c>
      <c r="P4354" s="185"/>
      <c r="Q4354" s="185"/>
    </row>
    <row r="4355" spans="1:17" ht="30" hidden="1" outlineLevel="1">
      <c r="A4355" s="2">
        <v>10</v>
      </c>
      <c r="B4355" s="2">
        <v>2</v>
      </c>
      <c r="C4355" s="2">
        <v>2</v>
      </c>
      <c r="D4355" s="2">
        <f>1+D4353</f>
        <v>3</v>
      </c>
      <c r="E4355" s="20" t="str">
        <f>CONCATENATE(A4355,".",B4355,".",C4355,".",D4355)</f>
        <v>10.2.2.3</v>
      </c>
      <c r="F4355" s="21" t="s">
        <v>4961</v>
      </c>
      <c r="G4355" s="113">
        <v>92761</v>
      </c>
      <c r="H4355" s="114" t="s">
        <v>86</v>
      </c>
      <c r="I4355" s="115" t="s">
        <v>80</v>
      </c>
      <c r="J4355" s="147"/>
      <c r="K4355" s="132"/>
      <c r="L4355" s="133"/>
      <c r="M4355" s="142"/>
      <c r="N4355" s="134"/>
      <c r="O4355" s="135">
        <f>SUM(O4356)</f>
        <v>230.36</v>
      </c>
      <c r="P4355" s="185"/>
      <c r="Q4355" s="185"/>
    </row>
    <row r="4356" spans="1:17" hidden="1" outlineLevel="2">
      <c r="E4356" s="20"/>
      <c r="F4356" s="21"/>
      <c r="G4356" s="136"/>
      <c r="H4356" s="118" t="s">
        <v>2852</v>
      </c>
      <c r="I4356" s="137"/>
      <c r="J4356" s="146"/>
      <c r="K4356" s="138"/>
      <c r="L4356" s="134"/>
      <c r="M4356" s="140"/>
      <c r="N4356" s="134">
        <v>230.36</v>
      </c>
      <c r="O4356" s="139">
        <f>ROUND(PRODUCT(J4356:N4356),2)</f>
        <v>230.36</v>
      </c>
      <c r="P4356" s="185"/>
      <c r="Q4356" s="185"/>
    </row>
    <row r="4357" spans="1:17" ht="30" hidden="1" outlineLevel="1">
      <c r="A4357" s="2">
        <v>10</v>
      </c>
      <c r="B4357" s="2">
        <v>2</v>
      </c>
      <c r="C4357" s="2">
        <v>2</v>
      </c>
      <c r="D4357" s="2">
        <f>1+D4355</f>
        <v>4</v>
      </c>
      <c r="E4357" s="20" t="str">
        <f>CONCATENATE(A4357,".",B4357,".",C4357,".",D4357)</f>
        <v>10.2.2.4</v>
      </c>
      <c r="F4357" s="21" t="s">
        <v>4962</v>
      </c>
      <c r="G4357" s="22">
        <v>95944</v>
      </c>
      <c r="H4357" s="23" t="s">
        <v>1686</v>
      </c>
      <c r="I4357" s="115" t="s">
        <v>80</v>
      </c>
      <c r="J4357" s="25"/>
      <c r="K4357" s="10"/>
      <c r="L4357" s="32"/>
      <c r="M4357" s="10"/>
      <c r="N4357" s="33"/>
      <c r="O4357" s="27">
        <f>SUM(O4358:O4358)</f>
        <v>14.09</v>
      </c>
      <c r="P4357" s="185"/>
      <c r="Q4357" s="185"/>
    </row>
    <row r="4358" spans="1:17" hidden="1" outlineLevel="2">
      <c r="E4358" s="20"/>
      <c r="F4358" s="21"/>
      <c r="G4358" s="34"/>
      <c r="H4358" s="30"/>
      <c r="I4358" s="35"/>
      <c r="J4358" s="25"/>
      <c r="K4358" s="33"/>
      <c r="L4358" s="41"/>
      <c r="M4358" s="33"/>
      <c r="N4358" s="33">
        <v>14.09</v>
      </c>
      <c r="O4358" s="31">
        <f>ROUND(PRODUCT(J4358:N4358),2)</f>
        <v>14.09</v>
      </c>
      <c r="P4358" s="185"/>
      <c r="Q4358" s="185"/>
    </row>
    <row r="4359" spans="1:17" ht="30" hidden="1" outlineLevel="1">
      <c r="A4359" s="2">
        <v>10</v>
      </c>
      <c r="B4359" s="2">
        <v>2</v>
      </c>
      <c r="C4359" s="2">
        <v>2</v>
      </c>
      <c r="D4359" s="2">
        <f>1+D4357</f>
        <v>5</v>
      </c>
      <c r="E4359" s="20" t="str">
        <f>CONCATENATE(A4359,".",B4359,".",C4359,".",D4359)</f>
        <v>10.2.2.5</v>
      </c>
      <c r="F4359" s="21" t="s">
        <v>4963</v>
      </c>
      <c r="G4359" s="22">
        <v>95945</v>
      </c>
      <c r="H4359" s="23" t="s">
        <v>1689</v>
      </c>
      <c r="I4359" s="115" t="s">
        <v>80</v>
      </c>
      <c r="J4359" s="25"/>
      <c r="K4359" s="10"/>
      <c r="L4359" s="32"/>
      <c r="M4359" s="10"/>
      <c r="N4359" s="33"/>
      <c r="O4359" s="27">
        <f>SUM(O4360:O4360)</f>
        <v>6.55</v>
      </c>
      <c r="P4359" s="185"/>
      <c r="Q4359" s="185"/>
    </row>
    <row r="4360" spans="1:17" hidden="1" outlineLevel="2">
      <c r="E4360" s="20"/>
      <c r="F4360" s="21"/>
      <c r="G4360" s="34"/>
      <c r="H4360" s="30"/>
      <c r="I4360" s="35"/>
      <c r="J4360" s="25"/>
      <c r="K4360" s="33"/>
      <c r="L4360" s="41"/>
      <c r="M4360" s="33"/>
      <c r="N4360" s="33">
        <v>6.55</v>
      </c>
      <c r="O4360" s="31">
        <f>ROUND(PRODUCT(J4360:N4360),2)</f>
        <v>6.55</v>
      </c>
      <c r="P4360" s="185"/>
      <c r="Q4360" s="185"/>
    </row>
    <row r="4361" spans="1:17" ht="30" hidden="1" outlineLevel="1">
      <c r="A4361" s="2">
        <v>10</v>
      </c>
      <c r="B4361" s="2">
        <v>2</v>
      </c>
      <c r="C4361" s="2">
        <v>2</v>
      </c>
      <c r="D4361" s="2">
        <f>1+D4359</f>
        <v>6</v>
      </c>
      <c r="E4361" s="20" t="str">
        <f>CONCATENATE(A4361,".",B4361,".",C4361,".",D4361)</f>
        <v>10.2.2.6</v>
      </c>
      <c r="F4361" s="21" t="s">
        <v>4964</v>
      </c>
      <c r="G4361" s="22">
        <v>95947</v>
      </c>
      <c r="H4361" s="23" t="s">
        <v>1692</v>
      </c>
      <c r="I4361" s="115" t="s">
        <v>80</v>
      </c>
      <c r="J4361" s="25"/>
      <c r="K4361" s="10"/>
      <c r="L4361" s="32"/>
      <c r="M4361" s="10"/>
      <c r="N4361" s="33"/>
      <c r="O4361" s="27">
        <f>SUM(O4362:O4362)</f>
        <v>188.37</v>
      </c>
      <c r="P4361" s="185"/>
      <c r="Q4361" s="185"/>
    </row>
    <row r="4362" spans="1:17" hidden="1" outlineLevel="2">
      <c r="E4362" s="20"/>
      <c r="F4362" s="21"/>
      <c r="G4362" s="34"/>
      <c r="H4362" s="30"/>
      <c r="I4362" s="35"/>
      <c r="J4362" s="25"/>
      <c r="K4362" s="33"/>
      <c r="L4362" s="41"/>
      <c r="M4362" s="33"/>
      <c r="N4362" s="33">
        <v>188.37</v>
      </c>
      <c r="O4362" s="31">
        <f>ROUND(PRODUCT(J4362:N4362),2)</f>
        <v>188.37</v>
      </c>
      <c r="P4362" s="185"/>
      <c r="Q4362" s="185"/>
    </row>
    <row r="4363" spans="1:17" ht="45" hidden="1" outlineLevel="1">
      <c r="A4363" s="2">
        <v>10</v>
      </c>
      <c r="B4363" s="2">
        <v>2</v>
      </c>
      <c r="C4363" s="2">
        <v>2</v>
      </c>
      <c r="D4363" s="2">
        <f>1+D4361</f>
        <v>7</v>
      </c>
      <c r="E4363" s="20" t="str">
        <f>CONCATENATE(A4363,".",B4363,".",C4363,".",D4363)</f>
        <v>10.2.2.7</v>
      </c>
      <c r="F4363" s="21" t="s">
        <v>4965</v>
      </c>
      <c r="G4363" s="22">
        <v>604</v>
      </c>
      <c r="H4363" s="23" t="s">
        <v>125</v>
      </c>
      <c r="I4363" s="24" t="s">
        <v>126</v>
      </c>
      <c r="J4363" s="25"/>
      <c r="K4363" s="10"/>
      <c r="L4363" s="32"/>
      <c r="M4363" s="10"/>
      <c r="N4363" s="33"/>
      <c r="O4363" s="27">
        <f>SUM(O4364:O4367)</f>
        <v>70.100000000000009</v>
      </c>
      <c r="P4363" s="185"/>
      <c r="Q4363" s="185"/>
    </row>
    <row r="4364" spans="1:17" hidden="1" outlineLevel="2">
      <c r="E4364" s="20"/>
      <c r="F4364" s="21"/>
      <c r="G4364" s="34"/>
      <c r="H4364" s="30" t="s">
        <v>2847</v>
      </c>
      <c r="I4364" s="35"/>
      <c r="J4364" s="25"/>
      <c r="K4364" s="33"/>
      <c r="L4364" s="41"/>
      <c r="M4364" s="33"/>
      <c r="N4364" s="33">
        <v>20.3</v>
      </c>
      <c r="O4364" s="31">
        <f>ROUND(PRODUCT(J4364:N4364),2)</f>
        <v>20.3</v>
      </c>
      <c r="P4364" s="185"/>
      <c r="Q4364" s="185"/>
    </row>
    <row r="4365" spans="1:17" hidden="1" outlineLevel="2">
      <c r="E4365" s="20"/>
      <c r="F4365" s="21"/>
      <c r="G4365" s="34"/>
      <c r="H4365" s="30" t="s">
        <v>2852</v>
      </c>
      <c r="I4365" s="35"/>
      <c r="J4365" s="25"/>
      <c r="K4365" s="33"/>
      <c r="L4365" s="41"/>
      <c r="M4365" s="33"/>
      <c r="N4365" s="33">
        <v>26.6</v>
      </c>
      <c r="O4365" s="31">
        <f>ROUND(PRODUCT(J4365:N4365),2)</f>
        <v>26.6</v>
      </c>
      <c r="P4365" s="185"/>
      <c r="Q4365" s="185"/>
    </row>
    <row r="4366" spans="1:17" hidden="1" outlineLevel="2">
      <c r="E4366" s="20"/>
      <c r="F4366" s="21"/>
      <c r="G4366" s="34"/>
      <c r="H4366" s="30" t="s">
        <v>3653</v>
      </c>
      <c r="I4366" s="35"/>
      <c r="J4366" s="25"/>
      <c r="K4366" s="33"/>
      <c r="L4366" s="41"/>
      <c r="M4366" s="33"/>
      <c r="N4366" s="33">
        <v>21.2</v>
      </c>
      <c r="O4366" s="31">
        <f>ROUND(PRODUCT(J4366:N4366),2)</f>
        <v>21.2</v>
      </c>
      <c r="P4366" s="185"/>
      <c r="Q4366" s="185"/>
    </row>
    <row r="4367" spans="1:17" hidden="1" outlineLevel="2">
      <c r="E4367" s="20"/>
      <c r="F4367" s="21"/>
      <c r="G4367" s="34"/>
      <c r="H4367" s="30" t="s">
        <v>4966</v>
      </c>
      <c r="I4367" s="35"/>
      <c r="J4367" s="25"/>
      <c r="K4367" s="33"/>
      <c r="L4367" s="41"/>
      <c r="M4367" s="33"/>
      <c r="N4367" s="33">
        <v>2</v>
      </c>
      <c r="O4367" s="31">
        <f>ROUND(PRODUCT(J4367:N4367),2)</f>
        <v>2</v>
      </c>
      <c r="P4367" s="185"/>
      <c r="Q4367" s="185"/>
    </row>
    <row r="4368" spans="1:17" ht="30" hidden="1" outlineLevel="1">
      <c r="A4368" s="2">
        <v>10</v>
      </c>
      <c r="B4368" s="2">
        <v>2</v>
      </c>
      <c r="C4368" s="2">
        <v>4</v>
      </c>
      <c r="D4368" s="2">
        <v>1</v>
      </c>
      <c r="E4368" s="20" t="str">
        <f>CONCATENATE(A4368,".",B4368,".",C4368,".",D4368)</f>
        <v>10.2.4.1</v>
      </c>
      <c r="F4368" s="21" t="s">
        <v>4967</v>
      </c>
      <c r="G4368" s="22">
        <v>102039</v>
      </c>
      <c r="H4368" s="23" t="s">
        <v>1696</v>
      </c>
      <c r="I4368" s="24" t="s">
        <v>45</v>
      </c>
      <c r="J4368" s="25"/>
      <c r="K4368" s="10"/>
      <c r="L4368" s="32"/>
      <c r="M4368" s="10"/>
      <c r="N4368" s="33"/>
      <c r="O4368" s="27">
        <f>SUM(O4369:O4369)</f>
        <v>15.9</v>
      </c>
      <c r="P4368" s="185"/>
      <c r="Q4368" s="185"/>
    </row>
    <row r="4369" spans="1:17" hidden="1" outlineLevel="2">
      <c r="E4369" s="20"/>
      <c r="F4369" s="21"/>
      <c r="G4369" s="34"/>
      <c r="H4369" s="30"/>
      <c r="I4369" s="35"/>
      <c r="J4369" s="25"/>
      <c r="K4369" s="33"/>
      <c r="L4369" s="41"/>
      <c r="M4369" s="33"/>
      <c r="N4369" s="33">
        <v>15.9</v>
      </c>
      <c r="O4369" s="31">
        <f>ROUND(PRODUCT(J4369:N4369),2)</f>
        <v>15.9</v>
      </c>
      <c r="P4369" s="185"/>
      <c r="Q4369" s="185"/>
    </row>
    <row r="4370" spans="1:17" ht="30" hidden="1" outlineLevel="1">
      <c r="A4370" s="2">
        <v>10</v>
      </c>
      <c r="B4370" s="2">
        <v>2</v>
      </c>
      <c r="C4370" s="2">
        <v>5</v>
      </c>
      <c r="D4370" s="2">
        <v>1</v>
      </c>
      <c r="E4370" s="20" t="str">
        <f>CONCATENATE(A4370,".",B4370,".",C4370,".",D4370)</f>
        <v>10.2.5.1</v>
      </c>
      <c r="F4370" s="21" t="s">
        <v>4968</v>
      </c>
      <c r="G4370" s="22">
        <v>92526</v>
      </c>
      <c r="H4370" s="23" t="s">
        <v>1699</v>
      </c>
      <c r="I4370" s="24" t="s">
        <v>45</v>
      </c>
      <c r="J4370" s="25"/>
      <c r="K4370" s="10"/>
      <c r="L4370" s="32"/>
      <c r="M4370" s="10"/>
      <c r="N4370" s="33"/>
      <c r="O4370" s="27">
        <f>SUM(O4371:O4371)</f>
        <v>140.80000000000001</v>
      </c>
      <c r="P4370" s="185"/>
      <c r="Q4370" s="185"/>
    </row>
    <row r="4371" spans="1:17" hidden="1" outlineLevel="2">
      <c r="E4371" s="20"/>
      <c r="F4371" s="21"/>
      <c r="G4371" s="34"/>
      <c r="H4371" s="30"/>
      <c r="I4371" s="35"/>
      <c r="J4371" s="25"/>
      <c r="K4371" s="33"/>
      <c r="L4371" s="41"/>
      <c r="M4371" s="33"/>
      <c r="N4371" s="33">
        <v>140.80000000000001</v>
      </c>
      <c r="O4371" s="31">
        <f>ROUND(PRODUCT(J4371:N4371),2)</f>
        <v>140.80000000000001</v>
      </c>
      <c r="P4371" s="185"/>
      <c r="Q4371" s="185"/>
    </row>
    <row r="4372" spans="1:17" collapsed="1">
      <c r="A4372" s="2">
        <v>10</v>
      </c>
      <c r="B4372" s="2">
        <v>2</v>
      </c>
      <c r="C4372" s="2">
        <v>6</v>
      </c>
      <c r="E4372" s="42" t="str">
        <f>CONCATENATE(A4372,".",B4372,".",C4372)</f>
        <v>10.2.6</v>
      </c>
      <c r="F4372" s="45" t="s">
        <v>4959</v>
      </c>
      <c r="G4372" s="13"/>
      <c r="H4372" s="14" t="s">
        <v>4969</v>
      </c>
      <c r="I4372" s="15"/>
      <c r="J4372" s="16"/>
      <c r="K4372" s="17"/>
      <c r="L4372" s="16"/>
      <c r="M4372" s="17"/>
      <c r="N4372" s="18"/>
      <c r="O4372" s="19"/>
      <c r="P4372" s="185"/>
      <c r="Q4372" s="185"/>
    </row>
    <row r="4373" spans="1:17" ht="45" hidden="1" outlineLevel="1">
      <c r="A4373" s="2">
        <v>10</v>
      </c>
      <c r="B4373" s="2">
        <v>2</v>
      </c>
      <c r="C4373" s="2">
        <v>6</v>
      </c>
      <c r="D4373" s="2">
        <v>1</v>
      </c>
      <c r="E4373" s="20" t="str">
        <f>CONCATENATE(A4373,".",B4373,".",C4373,".",D4373)</f>
        <v>10.2.6.1</v>
      </c>
      <c r="F4373" s="21" t="s">
        <v>4970</v>
      </c>
      <c r="G4373" s="22">
        <v>100775</v>
      </c>
      <c r="H4373" s="23" t="s">
        <v>129</v>
      </c>
      <c r="I4373" s="24" t="s">
        <v>80</v>
      </c>
      <c r="J4373" s="25"/>
      <c r="K4373" s="10"/>
      <c r="L4373" s="32"/>
      <c r="M4373" s="10"/>
      <c r="N4373" s="33"/>
      <c r="O4373" s="27">
        <f>SUM(O4374:O4374)</f>
        <v>16805.580000000002</v>
      </c>
      <c r="P4373" s="185"/>
      <c r="Q4373" s="185"/>
    </row>
    <row r="4374" spans="1:17" hidden="1" outlineLevel="2">
      <c r="E4374" s="20"/>
      <c r="F4374" s="21"/>
      <c r="G4374" s="34"/>
      <c r="H4374" s="30"/>
      <c r="I4374" s="35"/>
      <c r="J4374" s="25"/>
      <c r="K4374" s="33"/>
      <c r="L4374" s="41"/>
      <c r="M4374" s="33"/>
      <c r="N4374" s="33">
        <v>16805.580000000002</v>
      </c>
      <c r="O4374" s="31">
        <f>ROUND(PRODUCT(J4374:N4374),2)</f>
        <v>16805.580000000002</v>
      </c>
      <c r="P4374" s="185"/>
      <c r="Q4374" s="185"/>
    </row>
    <row r="4375" spans="1:17" collapsed="1">
      <c r="A4375" s="2">
        <v>10</v>
      </c>
      <c r="B4375" s="2">
        <v>3</v>
      </c>
      <c r="E4375" s="42" t="str">
        <f>CONCATENATE(A4375,".",B4375)</f>
        <v>10.3</v>
      </c>
      <c r="F4375" s="45" t="s">
        <v>4971</v>
      </c>
      <c r="G4375" s="13"/>
      <c r="H4375" s="14" t="s">
        <v>134</v>
      </c>
      <c r="I4375" s="15"/>
      <c r="J4375" s="16"/>
      <c r="K4375" s="17"/>
      <c r="L4375" s="16"/>
      <c r="M4375" s="17"/>
      <c r="N4375" s="18"/>
      <c r="O4375" s="19"/>
      <c r="P4375" s="185"/>
      <c r="Q4375" s="185"/>
    </row>
    <row r="4376" spans="1:17" ht="45" hidden="1" outlineLevel="1">
      <c r="A4376" s="2">
        <v>10</v>
      </c>
      <c r="B4376" s="2">
        <v>3</v>
      </c>
      <c r="C4376" s="2">
        <v>1</v>
      </c>
      <c r="E4376" s="20" t="str">
        <f>CONCATENATE(A4376,".",B4376,".",C4376)</f>
        <v>10.3.1</v>
      </c>
      <c r="F4376" s="21" t="s">
        <v>4972</v>
      </c>
      <c r="G4376" s="22" t="s">
        <v>976</v>
      </c>
      <c r="H4376" s="23" t="s">
        <v>977</v>
      </c>
      <c r="I4376" s="24" t="s">
        <v>45</v>
      </c>
      <c r="J4376" s="25"/>
      <c r="K4376" s="10"/>
      <c r="L4376" s="32"/>
      <c r="M4376" s="10"/>
      <c r="N4376" s="33"/>
      <c r="O4376" s="27">
        <f>SUM(O4377:O4386)</f>
        <v>1209.17</v>
      </c>
      <c r="P4376" s="185"/>
      <c r="Q4376" s="185"/>
    </row>
    <row r="4377" spans="1:17" hidden="1" outlineLevel="1">
      <c r="E4377" s="20"/>
      <c r="F4377" s="21"/>
      <c r="G4377" s="34"/>
      <c r="H4377" s="30" t="s">
        <v>4973</v>
      </c>
      <c r="I4377" s="35"/>
      <c r="J4377" s="25"/>
      <c r="K4377" s="33">
        <f>4.02+4.2+5.1+5.1</f>
        <v>18.419999999999998</v>
      </c>
      <c r="L4377" s="41"/>
      <c r="M4377" s="33">
        <v>2.81</v>
      </c>
      <c r="N4377" s="33"/>
      <c r="O4377" s="31">
        <f>ROUND(PRODUCT(J4377:N4377),2)</f>
        <v>51.76</v>
      </c>
      <c r="P4377" s="185"/>
    </row>
    <row r="4378" spans="1:17" hidden="1" outlineLevel="1">
      <c r="E4378" s="20"/>
      <c r="F4378" s="21"/>
      <c r="G4378" s="34"/>
      <c r="H4378" s="30" t="s">
        <v>4974</v>
      </c>
      <c r="I4378" s="35"/>
      <c r="J4378" s="25"/>
      <c r="K4378" s="33">
        <f>1.85+1.85+5.1</f>
        <v>8.8000000000000007</v>
      </c>
      <c r="L4378" s="41"/>
      <c r="M4378" s="33">
        <v>2.81</v>
      </c>
      <c r="N4378" s="33"/>
      <c r="O4378" s="31">
        <f t="shared" ref="O4378:O4386" si="102">ROUND(PRODUCT(J4378:N4378),2)</f>
        <v>24.73</v>
      </c>
      <c r="P4378" s="185"/>
    </row>
    <row r="4379" spans="1:17" hidden="1" outlineLevel="1">
      <c r="E4379" s="20"/>
      <c r="F4379" s="21"/>
      <c r="G4379" s="34"/>
      <c r="H4379" s="30" t="s">
        <v>4975</v>
      </c>
      <c r="I4379" s="35"/>
      <c r="J4379" s="25"/>
      <c r="K4379" s="33">
        <f>2.95+2.95+1.1+2.1+5.27+3.84+2.05+3.05+2.7</f>
        <v>26.01</v>
      </c>
      <c r="L4379" s="41"/>
      <c r="M4379" s="33">
        <v>2.81</v>
      </c>
      <c r="N4379" s="33"/>
      <c r="O4379" s="31">
        <f t="shared" si="102"/>
        <v>73.09</v>
      </c>
      <c r="P4379" s="185"/>
    </row>
    <row r="4380" spans="1:17" hidden="1" outlineLevel="1">
      <c r="E4380" s="20"/>
      <c r="F4380" s="21"/>
      <c r="G4380" s="34"/>
      <c r="H4380" s="30" t="s">
        <v>4976</v>
      </c>
      <c r="I4380" s="35"/>
      <c r="J4380" s="25"/>
      <c r="K4380" s="33">
        <f>2.95+2.95+1.1+2.1+5.27+3.84+2.05+5.1</f>
        <v>25.36</v>
      </c>
      <c r="L4380" s="41"/>
      <c r="M4380" s="33">
        <v>2.81</v>
      </c>
      <c r="N4380" s="33"/>
      <c r="O4380" s="31">
        <f t="shared" si="102"/>
        <v>71.260000000000005</v>
      </c>
      <c r="P4380" s="185"/>
    </row>
    <row r="4381" spans="1:17" hidden="1" outlineLevel="1">
      <c r="E4381" s="20"/>
      <c r="F4381" s="21"/>
      <c r="G4381" s="34"/>
      <c r="H4381" s="30" t="s">
        <v>4977</v>
      </c>
      <c r="I4381" s="35"/>
      <c r="J4381" s="25"/>
      <c r="K4381" s="33">
        <f>1.85+1.85+5.1</f>
        <v>8.8000000000000007</v>
      </c>
      <c r="L4381" s="41"/>
      <c r="M4381" s="33">
        <v>2.81</v>
      </c>
      <c r="N4381" s="33"/>
      <c r="O4381" s="31">
        <f t="shared" si="102"/>
        <v>24.73</v>
      </c>
      <c r="P4381" s="185"/>
    </row>
    <row r="4382" spans="1:17" hidden="1" outlineLevel="1">
      <c r="E4382" s="20"/>
      <c r="F4382" s="21"/>
      <c r="G4382" s="34"/>
      <c r="H4382" s="30" t="s">
        <v>2891</v>
      </c>
      <c r="I4382" s="35"/>
      <c r="J4382" s="25"/>
      <c r="K4382" s="33">
        <f>4.12+5.1+5.1+4.12</f>
        <v>18.439999999999998</v>
      </c>
      <c r="L4382" s="41"/>
      <c r="M4382" s="33">
        <v>4.55</v>
      </c>
      <c r="N4382" s="33"/>
      <c r="O4382" s="31">
        <f t="shared" si="102"/>
        <v>83.9</v>
      </c>
      <c r="P4382" s="185"/>
    </row>
    <row r="4383" spans="1:17" hidden="1" outlineLevel="1">
      <c r="E4383" s="20"/>
      <c r="F4383" s="21"/>
      <c r="G4383" s="34"/>
      <c r="H4383" s="30" t="s">
        <v>2891</v>
      </c>
      <c r="I4383" s="35"/>
      <c r="J4383" s="25"/>
      <c r="K4383" s="33">
        <f>4.65+4.65+5.1</f>
        <v>14.4</v>
      </c>
      <c r="L4383" s="41"/>
      <c r="M4383" s="33">
        <v>4.55</v>
      </c>
      <c r="N4383" s="33"/>
      <c r="O4383" s="31">
        <f t="shared" si="102"/>
        <v>65.52</v>
      </c>
      <c r="P4383" s="185"/>
    </row>
    <row r="4384" spans="1:17" hidden="1" outlineLevel="1">
      <c r="E4384" s="20"/>
      <c r="F4384" s="21"/>
      <c r="G4384" s="34"/>
      <c r="H4384" s="30" t="s">
        <v>2891</v>
      </c>
      <c r="I4384" s="35"/>
      <c r="J4384" s="25"/>
      <c r="K4384" s="33">
        <f>15.35+5.1</f>
        <v>20.45</v>
      </c>
      <c r="L4384" s="41"/>
      <c r="M4384" s="33">
        <v>4.55</v>
      </c>
      <c r="N4384" s="33"/>
      <c r="O4384" s="31">
        <f t="shared" si="102"/>
        <v>93.05</v>
      </c>
      <c r="P4384" s="185"/>
    </row>
    <row r="4385" spans="1:17" hidden="1" outlineLevel="1">
      <c r="E4385" s="20"/>
      <c r="F4385" s="21"/>
      <c r="G4385" s="34"/>
      <c r="H4385" s="30" t="s">
        <v>4978</v>
      </c>
      <c r="I4385" s="35"/>
      <c r="J4385" s="25"/>
      <c r="K4385" s="33">
        <v>36</v>
      </c>
      <c r="L4385" s="41"/>
      <c r="M4385" s="33">
        <v>7.5</v>
      </c>
      <c r="N4385" s="33">
        <v>2</v>
      </c>
      <c r="O4385" s="31">
        <f t="shared" si="102"/>
        <v>540</v>
      </c>
      <c r="P4385" s="185"/>
    </row>
    <row r="4386" spans="1:17" hidden="1" outlineLevel="1">
      <c r="E4386" s="20"/>
      <c r="F4386" s="21"/>
      <c r="G4386" s="34"/>
      <c r="H4386" s="30" t="s">
        <v>4979</v>
      </c>
      <c r="I4386" s="35"/>
      <c r="J4386" s="25"/>
      <c r="K4386" s="33">
        <v>24.15</v>
      </c>
      <c r="L4386" s="41"/>
      <c r="M4386" s="33">
        <v>7.5</v>
      </c>
      <c r="N4386" s="33">
        <v>1</v>
      </c>
      <c r="O4386" s="31">
        <f t="shared" si="102"/>
        <v>181.13</v>
      </c>
      <c r="P4386" s="185"/>
    </row>
    <row r="4387" spans="1:17" ht="30" hidden="1" outlineLevel="1">
      <c r="A4387" s="2">
        <v>10</v>
      </c>
      <c r="B4387" s="2">
        <v>3</v>
      </c>
      <c r="C4387" s="2">
        <v>2</v>
      </c>
      <c r="E4387" s="20" t="str">
        <f>CONCATENATE(A4387,".",B4387,".",C4387)</f>
        <v>10.3.2</v>
      </c>
      <c r="F4387" s="21" t="s">
        <v>4980</v>
      </c>
      <c r="G4387" s="113">
        <v>102257</v>
      </c>
      <c r="H4387" s="114" t="s">
        <v>1714</v>
      </c>
      <c r="I4387" s="24" t="s">
        <v>45</v>
      </c>
      <c r="J4387" s="25"/>
      <c r="K4387" s="10"/>
      <c r="L4387" s="32"/>
      <c r="M4387" s="10"/>
      <c r="N4387" s="33"/>
      <c r="O4387" s="27">
        <f>SUM(O4388:O4389)</f>
        <v>20.82</v>
      </c>
      <c r="P4387" s="185"/>
      <c r="Q4387" s="185"/>
    </row>
    <row r="4388" spans="1:17" hidden="1" outlineLevel="1">
      <c r="E4388" s="20"/>
      <c r="F4388" s="21"/>
      <c r="G4388" s="34"/>
      <c r="H4388" s="30" t="s">
        <v>4981</v>
      </c>
      <c r="I4388" s="35"/>
      <c r="J4388" s="25"/>
      <c r="K4388" s="33">
        <v>1.71</v>
      </c>
      <c r="L4388" s="41"/>
      <c r="M4388" s="33"/>
      <c r="N4388" s="33">
        <v>6</v>
      </c>
      <c r="O4388" s="31">
        <f>ROUND(PRODUCT(J4388:N4388),2)</f>
        <v>10.26</v>
      </c>
      <c r="P4388" s="185"/>
      <c r="Q4388" s="185"/>
    </row>
    <row r="4389" spans="1:17" hidden="1" outlineLevel="1">
      <c r="E4389" s="20"/>
      <c r="F4389" s="21"/>
      <c r="G4389" s="34"/>
      <c r="H4389" s="30" t="s">
        <v>4982</v>
      </c>
      <c r="I4389" s="35"/>
      <c r="J4389" s="25"/>
      <c r="K4389" s="33">
        <v>1.32</v>
      </c>
      <c r="L4389" s="41"/>
      <c r="M4389" s="33"/>
      <c r="N4389" s="33">
        <v>8</v>
      </c>
      <c r="O4389" s="31">
        <f>ROUND(PRODUCT(J4389:N4389),2)</f>
        <v>10.56</v>
      </c>
      <c r="P4389" s="185"/>
      <c r="Q4389" s="185"/>
    </row>
    <row r="4390" spans="1:17" hidden="1" outlineLevel="1">
      <c r="A4390" s="2">
        <v>10</v>
      </c>
      <c r="B4390" s="2">
        <v>3</v>
      </c>
      <c r="C4390" s="2">
        <v>3</v>
      </c>
      <c r="E4390" s="20" t="str">
        <f>CONCATENATE(A4390,".",B4390,".",C4390)</f>
        <v>10.3.3</v>
      </c>
      <c r="F4390" s="21" t="s">
        <v>4983</v>
      </c>
      <c r="G4390" s="113">
        <v>105022</v>
      </c>
      <c r="H4390" s="114" t="s">
        <v>143</v>
      </c>
      <c r="I4390" s="24" t="s">
        <v>144</v>
      </c>
      <c r="J4390" s="25"/>
      <c r="K4390" s="10"/>
      <c r="L4390" s="32"/>
      <c r="M4390" s="10"/>
      <c r="N4390" s="33"/>
      <c r="O4390" s="27">
        <f>SUM(O4391:O4392)</f>
        <v>11.98</v>
      </c>
      <c r="P4390" s="185"/>
      <c r="Q4390" s="185"/>
    </row>
    <row r="4391" spans="1:17" hidden="1" outlineLevel="1">
      <c r="E4391" s="20"/>
      <c r="F4391" s="21"/>
      <c r="G4391" s="34"/>
      <c r="H4391" s="30"/>
      <c r="I4391" s="35"/>
      <c r="J4391" s="25"/>
      <c r="K4391" s="33">
        <f>0.9+0.5</f>
        <v>1.4</v>
      </c>
      <c r="L4391" s="41"/>
      <c r="M4391" s="33"/>
      <c r="N4391" s="33">
        <v>6</v>
      </c>
      <c r="O4391" s="31">
        <f>ROUND(PRODUCT(J4391:N4391),2)</f>
        <v>8.4</v>
      </c>
      <c r="P4391" s="185"/>
      <c r="Q4391" s="185"/>
    </row>
    <row r="4392" spans="1:17" hidden="1" outlineLevel="1">
      <c r="E4392" s="20"/>
      <c r="F4392" s="21"/>
      <c r="G4392" s="34"/>
      <c r="H4392" s="30"/>
      <c r="I4392" s="35"/>
      <c r="J4392" s="25"/>
      <c r="K4392" s="33">
        <f>1.29+0.5</f>
        <v>1.79</v>
      </c>
      <c r="L4392" s="41"/>
      <c r="M4392" s="33"/>
      <c r="N4392" s="33">
        <v>2</v>
      </c>
      <c r="O4392" s="31">
        <f>ROUND(PRODUCT(J4392:N4392),2)</f>
        <v>3.58</v>
      </c>
      <c r="P4392" s="185"/>
      <c r="Q4392" s="185"/>
    </row>
    <row r="4393" spans="1:17" ht="30" hidden="1" outlineLevel="1">
      <c r="A4393" s="2">
        <v>10</v>
      </c>
      <c r="B4393" s="2">
        <v>3</v>
      </c>
      <c r="C4393" s="2">
        <v>4</v>
      </c>
      <c r="E4393" s="20" t="str">
        <f>CONCATENATE(A4393,".",B4393,".",C4393)</f>
        <v>10.3.4</v>
      </c>
      <c r="F4393" s="21" t="s">
        <v>4984</v>
      </c>
      <c r="G4393" s="113">
        <v>105026</v>
      </c>
      <c r="H4393" s="114" t="s">
        <v>147</v>
      </c>
      <c r="I4393" s="115" t="s">
        <v>144</v>
      </c>
      <c r="J4393" s="25"/>
      <c r="K4393" s="10"/>
      <c r="L4393" s="32"/>
      <c r="M4393" s="10"/>
      <c r="N4393" s="33"/>
      <c r="O4393" s="27">
        <f>SUM(O4394:O4397)</f>
        <v>28.85</v>
      </c>
      <c r="P4393" s="185"/>
      <c r="Q4393" s="185"/>
    </row>
    <row r="4394" spans="1:17" hidden="1" outlineLevel="1">
      <c r="E4394" s="20"/>
      <c r="F4394" s="21"/>
      <c r="G4394" s="34"/>
      <c r="H4394" s="30"/>
      <c r="I4394" s="35"/>
      <c r="J4394" s="25"/>
      <c r="K4394" s="33">
        <f>3.81+0.5</f>
        <v>4.3100000000000005</v>
      </c>
      <c r="L4394" s="41"/>
      <c r="M4394" s="33"/>
      <c r="N4394" s="33">
        <v>1</v>
      </c>
      <c r="O4394" s="31">
        <f>ROUND(PRODUCT(J4394:N4394),2)</f>
        <v>4.3099999999999996</v>
      </c>
      <c r="P4394" s="185"/>
      <c r="Q4394" s="185"/>
    </row>
    <row r="4395" spans="1:17" hidden="1" outlineLevel="1">
      <c r="E4395" s="20"/>
      <c r="F4395" s="21"/>
      <c r="G4395" s="34"/>
      <c r="H4395" s="30"/>
      <c r="I4395" s="35"/>
      <c r="J4395" s="25"/>
      <c r="K4395" s="33">
        <f>3.81+0.5</f>
        <v>4.3100000000000005</v>
      </c>
      <c r="L4395" s="41"/>
      <c r="M4395" s="33"/>
      <c r="N4395" s="33">
        <v>1</v>
      </c>
      <c r="O4395" s="31">
        <f>ROUND(PRODUCT(J4395:N4395),2)</f>
        <v>4.3099999999999996</v>
      </c>
      <c r="P4395" s="185"/>
      <c r="Q4395" s="185"/>
    </row>
    <row r="4396" spans="1:17" hidden="1" outlineLevel="1">
      <c r="E4396" s="20"/>
      <c r="F4396" s="21"/>
      <c r="G4396" s="34"/>
      <c r="H4396" s="30"/>
      <c r="I4396" s="35"/>
      <c r="J4396" s="25"/>
      <c r="K4396" s="33">
        <f>5.04+0.5</f>
        <v>5.54</v>
      </c>
      <c r="L4396" s="41"/>
      <c r="M4396" s="33"/>
      <c r="N4396" s="33">
        <v>2</v>
      </c>
      <c r="O4396" s="31">
        <f>ROUND(PRODUCT(J4396:N4396),2)</f>
        <v>11.08</v>
      </c>
      <c r="P4396" s="185"/>
      <c r="Q4396" s="185"/>
    </row>
    <row r="4397" spans="1:17" hidden="1" outlineLevel="1">
      <c r="E4397" s="20"/>
      <c r="F4397" s="21"/>
      <c r="G4397" s="34"/>
      <c r="H4397" s="30"/>
      <c r="I4397" s="35"/>
      <c r="J4397" s="25"/>
      <c r="K4397" s="33">
        <f>2.55+0.5</f>
        <v>3.05</v>
      </c>
      <c r="L4397" s="41"/>
      <c r="M4397" s="33"/>
      <c r="N4397" s="33">
        <v>3</v>
      </c>
      <c r="O4397" s="31">
        <f>ROUND(PRODUCT(J4397:N4397),2)</f>
        <v>9.15</v>
      </c>
      <c r="P4397" s="185"/>
      <c r="Q4397" s="185"/>
    </row>
    <row r="4398" spans="1:17" hidden="1" outlineLevel="1">
      <c r="E4398" s="20"/>
      <c r="F4398" s="21" t="s">
        <v>4985</v>
      </c>
      <c r="G4398" s="113">
        <v>105028</v>
      </c>
      <c r="H4398" s="114" t="s">
        <v>150</v>
      </c>
      <c r="I4398" s="115" t="s">
        <v>144</v>
      </c>
      <c r="J4398" s="25"/>
      <c r="K4398" s="10"/>
      <c r="L4398" s="32"/>
      <c r="M4398" s="10"/>
      <c r="N4398" s="33"/>
      <c r="O4398" s="27">
        <f>SUM(O4399:O4399)</f>
        <v>3.58</v>
      </c>
      <c r="P4398" s="185"/>
      <c r="Q4398" s="185"/>
    </row>
    <row r="4399" spans="1:17" hidden="1" outlineLevel="1">
      <c r="E4399" s="20"/>
      <c r="F4399" s="21"/>
      <c r="G4399" s="34"/>
      <c r="H4399" s="30"/>
      <c r="I4399" s="35"/>
      <c r="J4399" s="25"/>
      <c r="K4399" s="33">
        <f>1.29+0.5</f>
        <v>1.79</v>
      </c>
      <c r="L4399" s="41"/>
      <c r="M4399" s="33"/>
      <c r="N4399" s="33">
        <v>2</v>
      </c>
      <c r="O4399" s="31">
        <f>ROUND(PRODUCT(J4399:N4399),2)</f>
        <v>3.58</v>
      </c>
      <c r="P4399" s="185"/>
      <c r="Q4399" s="185"/>
    </row>
    <row r="4400" spans="1:17" hidden="1" outlineLevel="1">
      <c r="E4400" s="20"/>
      <c r="F4400" s="21" t="s">
        <v>4986</v>
      </c>
      <c r="G4400" s="113">
        <v>105027</v>
      </c>
      <c r="H4400" s="114" t="s">
        <v>153</v>
      </c>
      <c r="I4400" s="115" t="s">
        <v>144</v>
      </c>
      <c r="J4400" s="25"/>
      <c r="K4400" s="10"/>
      <c r="L4400" s="32"/>
      <c r="M4400" s="10"/>
      <c r="N4400" s="33"/>
      <c r="O4400" s="27">
        <f>SUM(O4401:O4404)</f>
        <v>28.85</v>
      </c>
      <c r="P4400" s="185"/>
      <c r="Q4400" s="185"/>
    </row>
    <row r="4401" spans="1:17" hidden="1" outlineLevel="1">
      <c r="E4401" s="20"/>
      <c r="F4401" s="21"/>
      <c r="G4401" s="34"/>
      <c r="H4401" s="30"/>
      <c r="I4401" s="35"/>
      <c r="J4401" s="25"/>
      <c r="K4401" s="33">
        <f>3.81+0.5</f>
        <v>4.3100000000000005</v>
      </c>
      <c r="L4401" s="41"/>
      <c r="M4401" s="33"/>
      <c r="N4401" s="33">
        <v>1</v>
      </c>
      <c r="O4401" s="31">
        <f>ROUND(PRODUCT(J4401:N4401),2)</f>
        <v>4.3099999999999996</v>
      </c>
      <c r="P4401" s="185"/>
      <c r="Q4401" s="185"/>
    </row>
    <row r="4402" spans="1:17" hidden="1" outlineLevel="1">
      <c r="E4402" s="20"/>
      <c r="F4402" s="21"/>
      <c r="G4402" s="34"/>
      <c r="H4402" s="30"/>
      <c r="I4402" s="35"/>
      <c r="J4402" s="25"/>
      <c r="K4402" s="33">
        <f>3.81+0.5</f>
        <v>4.3100000000000005</v>
      </c>
      <c r="L4402" s="41"/>
      <c r="M4402" s="33"/>
      <c r="N4402" s="33">
        <v>1</v>
      </c>
      <c r="O4402" s="31">
        <f>ROUND(PRODUCT(J4402:N4402),2)</f>
        <v>4.3099999999999996</v>
      </c>
      <c r="P4402" s="185"/>
      <c r="Q4402" s="185"/>
    </row>
    <row r="4403" spans="1:17" hidden="1" outlineLevel="1">
      <c r="E4403" s="20"/>
      <c r="F4403" s="21"/>
      <c r="G4403" s="34"/>
      <c r="H4403" s="30"/>
      <c r="I4403" s="35"/>
      <c r="J4403" s="25"/>
      <c r="K4403" s="33">
        <f>5.04+0.5</f>
        <v>5.54</v>
      </c>
      <c r="L4403" s="41"/>
      <c r="M4403" s="33"/>
      <c r="N4403" s="33">
        <v>2</v>
      </c>
      <c r="O4403" s="31">
        <f>ROUND(PRODUCT(J4403:N4403),2)</f>
        <v>11.08</v>
      </c>
      <c r="P4403" s="185"/>
      <c r="Q4403" s="185"/>
    </row>
    <row r="4404" spans="1:17" hidden="1" outlineLevel="1">
      <c r="E4404" s="20"/>
      <c r="F4404" s="21"/>
      <c r="G4404" s="34"/>
      <c r="H4404" s="30"/>
      <c r="I4404" s="35"/>
      <c r="J4404" s="25"/>
      <c r="K4404" s="33">
        <f>2.55+0.5</f>
        <v>3.05</v>
      </c>
      <c r="L4404" s="41"/>
      <c r="M4404" s="33"/>
      <c r="N4404" s="33">
        <v>3</v>
      </c>
      <c r="O4404" s="31">
        <f>ROUND(PRODUCT(J4404:N4404),2)</f>
        <v>9.15</v>
      </c>
      <c r="P4404" s="185"/>
      <c r="Q4404" s="185"/>
    </row>
    <row r="4405" spans="1:17" collapsed="1">
      <c r="A4405" s="2">
        <v>10</v>
      </c>
      <c r="B4405" s="2">
        <v>4</v>
      </c>
      <c r="E4405" s="42" t="str">
        <f>CONCATENATE(A4405,".",B4405)</f>
        <v>10.4</v>
      </c>
      <c r="F4405" s="45" t="s">
        <v>4987</v>
      </c>
      <c r="G4405" s="13"/>
      <c r="H4405" s="14" t="s">
        <v>158</v>
      </c>
      <c r="I4405" s="15"/>
      <c r="J4405" s="16"/>
      <c r="K4405" s="17"/>
      <c r="L4405" s="16"/>
      <c r="M4405" s="17"/>
      <c r="N4405" s="18"/>
      <c r="O4405" s="19"/>
      <c r="P4405" s="185"/>
      <c r="Q4405" s="185"/>
    </row>
    <row r="4406" spans="1:17" ht="27" hidden="1" customHeight="1" outlineLevel="1">
      <c r="A4406" s="2">
        <v>10</v>
      </c>
      <c r="B4406" s="2">
        <v>4</v>
      </c>
      <c r="C4406" s="2">
        <v>1</v>
      </c>
      <c r="E4406" s="20" t="str">
        <f>CONCATENATE(A4406,".",B4406,".",C4406)</f>
        <v>10.4.1</v>
      </c>
      <c r="F4406" s="21" t="s">
        <v>4988</v>
      </c>
      <c r="G4406" s="22">
        <v>94213</v>
      </c>
      <c r="H4406" s="23" t="s">
        <v>185</v>
      </c>
      <c r="I4406" s="24" t="s">
        <v>45</v>
      </c>
      <c r="J4406" s="25"/>
      <c r="K4406" s="10"/>
      <c r="L4406" s="32"/>
      <c r="M4406" s="10"/>
      <c r="N4406" s="33"/>
      <c r="O4406" s="27">
        <f>SUM(O4407:O4407)</f>
        <v>898.6</v>
      </c>
      <c r="P4406" s="185"/>
      <c r="Q4406" s="185"/>
    </row>
    <row r="4407" spans="1:17" hidden="1" outlineLevel="1">
      <c r="E4407" s="20"/>
      <c r="F4407" s="21"/>
      <c r="G4407" s="34"/>
      <c r="H4407" s="30" t="s">
        <v>4989</v>
      </c>
      <c r="I4407" s="35"/>
      <c r="J4407" s="25"/>
      <c r="K4407" s="33"/>
      <c r="L4407" s="41"/>
      <c r="M4407" s="33"/>
      <c r="N4407" s="33">
        <v>898.6</v>
      </c>
      <c r="O4407" s="31">
        <f>ROUND(PRODUCT(J4407:N4407),2)</f>
        <v>898.6</v>
      </c>
      <c r="P4407" s="185"/>
      <c r="Q4407" s="185"/>
    </row>
    <row r="4408" spans="1:17" ht="30" hidden="1" outlineLevel="1">
      <c r="A4408" s="2">
        <v>10</v>
      </c>
      <c r="B4408" s="2">
        <v>4</v>
      </c>
      <c r="C4408" s="2">
        <f>C4406+1</f>
        <v>2</v>
      </c>
      <c r="E4408" s="20" t="str">
        <f>CONCATENATE(A4408,".",B4408,".",C4408)</f>
        <v>10.4.2</v>
      </c>
      <c r="F4408" s="21" t="s">
        <v>4990</v>
      </c>
      <c r="G4408" s="22">
        <v>94229</v>
      </c>
      <c r="H4408" s="23" t="s">
        <v>167</v>
      </c>
      <c r="I4408" s="24" t="s">
        <v>144</v>
      </c>
      <c r="J4408" s="25"/>
      <c r="K4408" s="10"/>
      <c r="L4408" s="32"/>
      <c r="M4408" s="10"/>
      <c r="N4408" s="33"/>
      <c r="O4408" s="27">
        <f>SUM(O4409:O4409)</f>
        <v>82.5</v>
      </c>
      <c r="P4408" s="185"/>
      <c r="Q4408" s="185"/>
    </row>
    <row r="4409" spans="1:17" hidden="1" outlineLevel="1">
      <c r="E4409" s="20"/>
      <c r="F4409" s="21"/>
      <c r="G4409" s="34"/>
      <c r="H4409" s="30"/>
      <c r="I4409" s="35"/>
      <c r="J4409" s="25"/>
      <c r="K4409" s="33">
        <v>41.25</v>
      </c>
      <c r="L4409" s="41"/>
      <c r="M4409" s="33"/>
      <c r="N4409" s="33">
        <v>2</v>
      </c>
      <c r="O4409" s="31">
        <f>ROUND(PRODUCT(J4409:N4409),2)</f>
        <v>82.5</v>
      </c>
      <c r="P4409" s="185"/>
      <c r="Q4409" s="185"/>
    </row>
    <row r="4410" spans="1:17" hidden="1" outlineLevel="1">
      <c r="E4410" s="20"/>
      <c r="F4410" s="21" t="s">
        <v>4991</v>
      </c>
      <c r="G4410" s="22">
        <v>444</v>
      </c>
      <c r="H4410" s="23" t="s">
        <v>1727</v>
      </c>
      <c r="I4410" s="24" t="s">
        <v>80</v>
      </c>
      <c r="J4410" s="25"/>
      <c r="K4410" s="10"/>
      <c r="L4410" s="32"/>
      <c r="M4410" s="10"/>
      <c r="N4410" s="33"/>
      <c r="O4410" s="27">
        <f>SUM(O4411:O4411)</f>
        <v>16210</v>
      </c>
      <c r="P4410" s="185"/>
      <c r="Q4410" s="185"/>
    </row>
    <row r="4411" spans="1:17" hidden="1" outlineLevel="1">
      <c r="E4411" s="20"/>
      <c r="F4411" s="21"/>
      <c r="G4411" s="34"/>
      <c r="H4411" s="30"/>
      <c r="I4411" s="35"/>
      <c r="J4411" s="25"/>
      <c r="K4411" s="33"/>
      <c r="L4411" s="41"/>
      <c r="M4411" s="33"/>
      <c r="N4411" s="33">
        <v>16210</v>
      </c>
      <c r="O4411" s="31">
        <f>ROUND(PRODUCT(J4411:N4411),2)</f>
        <v>16210</v>
      </c>
      <c r="P4411" s="185"/>
      <c r="Q4411" s="185"/>
    </row>
    <row r="4412" spans="1:17" collapsed="1">
      <c r="A4412" s="2">
        <v>10</v>
      </c>
      <c r="B4412" s="2">
        <v>5</v>
      </c>
      <c r="E4412" s="42" t="str">
        <f>CONCATENATE(A4412,".",B4412)</f>
        <v>10.5</v>
      </c>
      <c r="F4412" s="45" t="s">
        <v>4992</v>
      </c>
      <c r="G4412" s="13"/>
      <c r="H4412" s="14" t="s">
        <v>190</v>
      </c>
      <c r="I4412" s="13"/>
      <c r="J4412" s="16"/>
      <c r="K4412" s="17"/>
      <c r="L4412" s="16"/>
      <c r="M4412" s="17"/>
      <c r="N4412" s="18"/>
      <c r="O4412" s="61"/>
      <c r="P4412" s="185"/>
      <c r="Q4412" s="185"/>
    </row>
    <row r="4413" spans="1:17" ht="30" hidden="1" outlineLevel="1">
      <c r="A4413" s="2">
        <v>10</v>
      </c>
      <c r="B4413" s="2">
        <v>5</v>
      </c>
      <c r="C4413" s="2">
        <v>1</v>
      </c>
      <c r="E4413" s="20" t="str">
        <f>CONCATENATE(A4413,".",B4413,".",C4413)</f>
        <v>10.5.1</v>
      </c>
      <c r="F4413" s="21" t="s">
        <v>4993</v>
      </c>
      <c r="G4413" s="22">
        <v>98557</v>
      </c>
      <c r="H4413" s="23" t="s">
        <v>202</v>
      </c>
      <c r="I4413" s="24" t="s">
        <v>45</v>
      </c>
      <c r="J4413" s="25"/>
      <c r="K4413" s="10"/>
      <c r="L4413" s="32"/>
      <c r="M4413" s="10"/>
      <c r="N4413" s="33"/>
      <c r="O4413" s="27">
        <f>SUM(O4414:O4414)</f>
        <v>457.1</v>
      </c>
      <c r="P4413" s="185"/>
      <c r="Q4413" s="185"/>
    </row>
    <row r="4414" spans="1:17" hidden="1" outlineLevel="2">
      <c r="E4414" s="20"/>
      <c r="F4414" s="21"/>
      <c r="G4414" s="34"/>
      <c r="H4414" s="30"/>
      <c r="I4414" s="35"/>
      <c r="J4414" s="25"/>
      <c r="K4414" s="33"/>
      <c r="L4414" s="41"/>
      <c r="M4414" s="33"/>
      <c r="N4414" s="33">
        <v>457.1</v>
      </c>
      <c r="O4414" s="31">
        <f>ROUND(PRODUCT(J4414:N4414),2)</f>
        <v>457.1</v>
      </c>
      <c r="P4414" s="185"/>
      <c r="Q4414" s="185"/>
    </row>
    <row r="4415" spans="1:17" ht="30" hidden="1" outlineLevel="2">
      <c r="E4415" s="20"/>
      <c r="F4415" s="21" t="s">
        <v>4994</v>
      </c>
      <c r="G4415" s="22">
        <v>1294</v>
      </c>
      <c r="H4415" s="23" t="s">
        <v>2983</v>
      </c>
      <c r="I4415" s="24" t="s">
        <v>45</v>
      </c>
      <c r="J4415" s="25"/>
      <c r="K4415" s="10"/>
      <c r="L4415" s="32"/>
      <c r="M4415" s="10"/>
      <c r="N4415" s="33"/>
      <c r="O4415" s="27">
        <f>SUM(O4416:O4417)</f>
        <v>93.740000000000009</v>
      </c>
      <c r="P4415" s="185"/>
      <c r="Q4415" s="185"/>
    </row>
    <row r="4416" spans="1:17" hidden="1" outlineLevel="2">
      <c r="E4416" s="20"/>
      <c r="F4416" s="21"/>
      <c r="G4416" s="34"/>
      <c r="H4416" s="30"/>
      <c r="I4416" s="35"/>
      <c r="J4416" s="25"/>
      <c r="K4416" s="33"/>
      <c r="L4416" s="41"/>
      <c r="M4416" s="33">
        <v>8.66</v>
      </c>
      <c r="N4416" s="33">
        <v>2</v>
      </c>
      <c r="O4416" s="31">
        <f>ROUND(PRODUCT(J4416:N4416),2)</f>
        <v>17.32</v>
      </c>
      <c r="P4416" s="185"/>
      <c r="Q4416" s="185"/>
    </row>
    <row r="4417" spans="1:17" hidden="1" outlineLevel="2">
      <c r="E4417" s="20"/>
      <c r="F4417" s="21"/>
      <c r="G4417" s="34"/>
      <c r="H4417" s="30"/>
      <c r="I4417" s="34"/>
      <c r="J4417" s="25"/>
      <c r="K4417" s="33"/>
      <c r="L4417" s="41"/>
      <c r="M4417" s="33">
        <v>38.21</v>
      </c>
      <c r="N4417" s="33">
        <v>2</v>
      </c>
      <c r="O4417" s="31">
        <f>ROUND(PRODUCT(J4417:N4417),2)</f>
        <v>76.42</v>
      </c>
      <c r="P4417" s="185"/>
      <c r="Q4417" s="185"/>
    </row>
    <row r="4418" spans="1:17" collapsed="1">
      <c r="A4418" s="2">
        <v>10</v>
      </c>
      <c r="B4418" s="2">
        <v>6</v>
      </c>
      <c r="E4418" s="42" t="str">
        <f>CONCATENATE(A4418,".",B4418)</f>
        <v>10.6</v>
      </c>
      <c r="F4418" s="45" t="s">
        <v>4995</v>
      </c>
      <c r="G4418" s="13"/>
      <c r="H4418" s="14" t="s">
        <v>204</v>
      </c>
      <c r="I4418" s="13"/>
      <c r="J4418" s="16"/>
      <c r="K4418" s="17"/>
      <c r="L4418" s="16"/>
      <c r="M4418" s="17"/>
      <c r="N4418" s="18"/>
      <c r="O4418" s="13"/>
      <c r="P4418" s="185"/>
      <c r="Q4418" s="185"/>
    </row>
    <row r="4419" spans="1:17" ht="45" hidden="1" outlineLevel="1">
      <c r="A4419" s="2">
        <v>10</v>
      </c>
      <c r="B4419" s="2">
        <v>6</v>
      </c>
      <c r="C4419" s="2">
        <v>1</v>
      </c>
      <c r="E4419" s="20" t="str">
        <f>CONCATENATE(A4419,".",B4419,".",C4419)</f>
        <v>10.6.1</v>
      </c>
      <c r="F4419" s="21" t="s">
        <v>4996</v>
      </c>
      <c r="G4419" s="22">
        <v>97084</v>
      </c>
      <c r="H4419" s="23" t="s">
        <v>207</v>
      </c>
      <c r="I4419" s="22" t="s">
        <v>45</v>
      </c>
      <c r="J4419" s="25"/>
      <c r="K4419" s="10"/>
      <c r="L4419" s="32"/>
      <c r="M4419" s="10"/>
      <c r="N4419" s="33"/>
      <c r="O4419" s="27">
        <f>SUM(O4420:O4425)</f>
        <v>985.03000000000009</v>
      </c>
      <c r="P4419" s="185"/>
      <c r="Q4419" s="185"/>
    </row>
    <row r="4420" spans="1:17" hidden="1" outlineLevel="1">
      <c r="E4420" s="20"/>
      <c r="F4420" s="21"/>
      <c r="G4420" s="34"/>
      <c r="H4420" s="30" t="s">
        <v>4973</v>
      </c>
      <c r="I4420" s="35"/>
      <c r="J4420" s="25"/>
      <c r="K4420" s="33"/>
      <c r="L4420" s="41"/>
      <c r="M4420" s="33"/>
      <c r="N4420" s="33">
        <v>22.35</v>
      </c>
      <c r="O4420" s="31">
        <f t="shared" ref="O4420:O4425" si="103">ROUND(PRODUCT(J4420:N4420),2)</f>
        <v>22.35</v>
      </c>
      <c r="P4420" s="185"/>
      <c r="Q4420" s="185"/>
    </row>
    <row r="4421" spans="1:17" hidden="1" outlineLevel="1">
      <c r="E4421" s="20"/>
      <c r="F4421" s="21"/>
      <c r="G4421" s="34"/>
      <c r="H4421" s="30" t="s">
        <v>4997</v>
      </c>
      <c r="I4421" s="35"/>
      <c r="J4421" s="25"/>
      <c r="K4421" s="33"/>
      <c r="L4421" s="41"/>
      <c r="M4421" s="33"/>
      <c r="N4421" s="33">
        <v>8.66</v>
      </c>
      <c r="O4421" s="31">
        <f t="shared" si="103"/>
        <v>8.66</v>
      </c>
      <c r="P4421" s="185"/>
      <c r="Q4421" s="185"/>
    </row>
    <row r="4422" spans="1:17" hidden="1" outlineLevel="1">
      <c r="E4422" s="20"/>
      <c r="F4422" s="21"/>
      <c r="G4422" s="34"/>
      <c r="H4422" s="30" t="s">
        <v>4998</v>
      </c>
      <c r="I4422" s="34"/>
      <c r="J4422" s="25"/>
      <c r="K4422" s="33"/>
      <c r="L4422" s="41"/>
      <c r="M4422" s="33"/>
      <c r="N4422" s="33">
        <v>41.58</v>
      </c>
      <c r="O4422" s="31">
        <f t="shared" si="103"/>
        <v>41.58</v>
      </c>
      <c r="P4422" s="185"/>
      <c r="Q4422" s="185"/>
    </row>
    <row r="4423" spans="1:17" hidden="1" outlineLevel="1">
      <c r="E4423" s="20"/>
      <c r="F4423" s="21"/>
      <c r="G4423" s="34"/>
      <c r="H4423" s="30" t="s">
        <v>4999</v>
      </c>
      <c r="I4423" s="34"/>
      <c r="J4423" s="25"/>
      <c r="K4423" s="33"/>
      <c r="L4423" s="41"/>
      <c r="M4423" s="33"/>
      <c r="N4423" s="33">
        <v>8.66</v>
      </c>
      <c r="O4423" s="31">
        <f t="shared" si="103"/>
        <v>8.66</v>
      </c>
      <c r="P4423" s="185"/>
      <c r="Q4423" s="185"/>
    </row>
    <row r="4424" spans="1:17" hidden="1" outlineLevel="1">
      <c r="E4424" s="20"/>
      <c r="F4424" s="21"/>
      <c r="G4424" s="34"/>
      <c r="H4424" s="30" t="s">
        <v>5000</v>
      </c>
      <c r="I4424" s="34"/>
      <c r="J4424" s="25"/>
      <c r="K4424" s="33"/>
      <c r="L4424" s="41"/>
      <c r="M4424" s="33"/>
      <c r="N4424" s="33">
        <v>41.58</v>
      </c>
      <c r="O4424" s="31">
        <f t="shared" si="103"/>
        <v>41.58</v>
      </c>
      <c r="P4424" s="185"/>
      <c r="Q4424" s="185"/>
    </row>
    <row r="4425" spans="1:17" hidden="1" outlineLevel="1">
      <c r="E4425" s="20"/>
      <c r="F4425" s="21"/>
      <c r="G4425" s="34"/>
      <c r="H4425" s="30" t="s">
        <v>20</v>
      </c>
      <c r="I4425" s="34"/>
      <c r="J4425" s="25"/>
      <c r="K4425" s="33"/>
      <c r="L4425" s="41"/>
      <c r="M4425" s="33"/>
      <c r="N4425" s="33">
        <v>862.2</v>
      </c>
      <c r="O4425" s="31">
        <f t="shared" si="103"/>
        <v>862.2</v>
      </c>
      <c r="P4425" s="185"/>
      <c r="Q4425" s="185"/>
    </row>
    <row r="4426" spans="1:17" ht="30" hidden="1" outlineLevel="1">
      <c r="A4426" s="2">
        <v>10</v>
      </c>
      <c r="B4426" s="2">
        <v>6</v>
      </c>
      <c r="C4426" s="2">
        <f>C4419+1</f>
        <v>2</v>
      </c>
      <c r="E4426" s="20" t="str">
        <f>CONCATENATE(A4426,".",B4426,".",C4426)</f>
        <v>10.6.2</v>
      </c>
      <c r="F4426" s="21" t="s">
        <v>5001</v>
      </c>
      <c r="G4426" s="22">
        <v>97087</v>
      </c>
      <c r="H4426" s="23" t="s">
        <v>210</v>
      </c>
      <c r="I4426" s="22" t="s">
        <v>45</v>
      </c>
      <c r="J4426" s="25"/>
      <c r="K4426" s="10"/>
      <c r="L4426" s="32"/>
      <c r="M4426" s="10"/>
      <c r="N4426" s="33"/>
      <c r="O4426" s="27">
        <f>SUM(O4427:O4432)</f>
        <v>985.03000000000009</v>
      </c>
      <c r="P4426" s="185"/>
      <c r="Q4426" s="185"/>
    </row>
    <row r="4427" spans="1:17" hidden="1" outlineLevel="1">
      <c r="E4427" s="20"/>
      <c r="F4427" s="21"/>
      <c r="G4427" s="34"/>
      <c r="H4427" s="30" t="s">
        <v>4973</v>
      </c>
      <c r="I4427" s="35"/>
      <c r="J4427" s="25"/>
      <c r="K4427" s="33"/>
      <c r="L4427" s="41"/>
      <c r="M4427" s="33"/>
      <c r="N4427" s="33">
        <v>22.35</v>
      </c>
      <c r="O4427" s="31">
        <f t="shared" ref="O4427:O4432" si="104">ROUND(PRODUCT(J4427:N4427),2)</f>
        <v>22.35</v>
      </c>
      <c r="P4427" s="185"/>
      <c r="Q4427" s="185"/>
    </row>
    <row r="4428" spans="1:17" hidden="1" outlineLevel="1">
      <c r="E4428" s="20"/>
      <c r="F4428" s="21"/>
      <c r="G4428" s="34"/>
      <c r="H4428" s="30" t="s">
        <v>4997</v>
      </c>
      <c r="I4428" s="35"/>
      <c r="J4428" s="25"/>
      <c r="K4428" s="33"/>
      <c r="L4428" s="41"/>
      <c r="M4428" s="33"/>
      <c r="N4428" s="33">
        <v>8.66</v>
      </c>
      <c r="O4428" s="31">
        <f t="shared" si="104"/>
        <v>8.66</v>
      </c>
      <c r="P4428" s="185"/>
      <c r="Q4428" s="185"/>
    </row>
    <row r="4429" spans="1:17" hidden="1" outlineLevel="1">
      <c r="E4429" s="20"/>
      <c r="F4429" s="21"/>
      <c r="G4429" s="34"/>
      <c r="H4429" s="30" t="s">
        <v>4998</v>
      </c>
      <c r="I4429" s="34"/>
      <c r="J4429" s="25"/>
      <c r="K4429" s="33"/>
      <c r="L4429" s="41"/>
      <c r="M4429" s="33"/>
      <c r="N4429" s="33">
        <v>41.58</v>
      </c>
      <c r="O4429" s="31">
        <f t="shared" si="104"/>
        <v>41.58</v>
      </c>
      <c r="P4429" s="185"/>
      <c r="Q4429" s="185"/>
    </row>
    <row r="4430" spans="1:17" hidden="1" outlineLevel="1">
      <c r="E4430" s="20"/>
      <c r="F4430" s="21"/>
      <c r="G4430" s="34"/>
      <c r="H4430" s="30" t="s">
        <v>4999</v>
      </c>
      <c r="I4430" s="34"/>
      <c r="J4430" s="25"/>
      <c r="K4430" s="33"/>
      <c r="L4430" s="41"/>
      <c r="M4430" s="33"/>
      <c r="N4430" s="33">
        <v>8.66</v>
      </c>
      <c r="O4430" s="31">
        <f t="shared" si="104"/>
        <v>8.66</v>
      </c>
      <c r="P4430" s="185"/>
      <c r="Q4430" s="185"/>
    </row>
    <row r="4431" spans="1:17" hidden="1" outlineLevel="1">
      <c r="E4431" s="20"/>
      <c r="F4431" s="21"/>
      <c r="G4431" s="34"/>
      <c r="H4431" s="30" t="s">
        <v>5000</v>
      </c>
      <c r="I4431" s="34"/>
      <c r="J4431" s="25"/>
      <c r="K4431" s="33"/>
      <c r="L4431" s="41"/>
      <c r="M4431" s="33"/>
      <c r="N4431" s="33">
        <v>41.58</v>
      </c>
      <c r="O4431" s="31">
        <f t="shared" si="104"/>
        <v>41.58</v>
      </c>
      <c r="P4431" s="185"/>
      <c r="Q4431" s="185"/>
    </row>
    <row r="4432" spans="1:17" hidden="1" outlineLevel="1">
      <c r="E4432" s="20"/>
      <c r="F4432" s="21"/>
      <c r="G4432" s="34"/>
      <c r="H4432" s="30" t="s">
        <v>20</v>
      </c>
      <c r="I4432" s="34"/>
      <c r="J4432" s="25"/>
      <c r="K4432" s="33"/>
      <c r="L4432" s="41"/>
      <c r="M4432" s="33"/>
      <c r="N4432" s="33">
        <v>862.2</v>
      </c>
      <c r="O4432" s="31">
        <f t="shared" si="104"/>
        <v>862.2</v>
      </c>
      <c r="P4432" s="185"/>
      <c r="Q4432" s="185"/>
    </row>
    <row r="4433" spans="1:17" ht="30" hidden="1" outlineLevel="1">
      <c r="A4433" s="2">
        <v>10</v>
      </c>
      <c r="B4433" s="2">
        <v>6</v>
      </c>
      <c r="C4433" s="2">
        <f>C4426+1</f>
        <v>3</v>
      </c>
      <c r="E4433" s="20" t="str">
        <f>CONCATENATE(A4433,".",B4433,".",C4433)</f>
        <v>10.6.3</v>
      </c>
      <c r="F4433" s="21" t="s">
        <v>5002</v>
      </c>
      <c r="G4433" s="22" t="s">
        <v>212</v>
      </c>
      <c r="H4433" s="23" t="s">
        <v>213</v>
      </c>
      <c r="I4433" s="24" t="s">
        <v>45</v>
      </c>
      <c r="J4433" s="25"/>
      <c r="K4433" s="10"/>
      <c r="L4433" s="32"/>
      <c r="M4433" s="10"/>
      <c r="N4433" s="33"/>
      <c r="O4433" s="27">
        <f>SUM(O4434:O4439)</f>
        <v>985.03000000000009</v>
      </c>
      <c r="P4433" s="185"/>
      <c r="Q4433" s="185"/>
    </row>
    <row r="4434" spans="1:17" hidden="1" outlineLevel="1">
      <c r="E4434" s="20"/>
      <c r="F4434" s="21"/>
      <c r="G4434" s="34"/>
      <c r="H4434" s="30" t="s">
        <v>4973</v>
      </c>
      <c r="I4434" s="35"/>
      <c r="J4434" s="25"/>
      <c r="K4434" s="33"/>
      <c r="L4434" s="41"/>
      <c r="M4434" s="33"/>
      <c r="N4434" s="33">
        <v>22.35</v>
      </c>
      <c r="O4434" s="31">
        <f t="shared" ref="O4434:O4439" si="105">ROUND(PRODUCT(J4434:N4434),2)</f>
        <v>22.35</v>
      </c>
      <c r="P4434" s="185"/>
      <c r="Q4434" s="185"/>
    </row>
    <row r="4435" spans="1:17" hidden="1" outlineLevel="1">
      <c r="E4435" s="20"/>
      <c r="F4435" s="21"/>
      <c r="G4435" s="34"/>
      <c r="H4435" s="30" t="s">
        <v>4997</v>
      </c>
      <c r="I4435" s="35"/>
      <c r="J4435" s="25"/>
      <c r="K4435" s="33"/>
      <c r="L4435" s="41"/>
      <c r="M4435" s="33"/>
      <c r="N4435" s="33">
        <v>8.66</v>
      </c>
      <c r="O4435" s="31">
        <f t="shared" si="105"/>
        <v>8.66</v>
      </c>
      <c r="P4435" s="185"/>
      <c r="Q4435" s="185"/>
    </row>
    <row r="4436" spans="1:17" hidden="1" outlineLevel="1">
      <c r="E4436" s="20"/>
      <c r="F4436" s="21"/>
      <c r="G4436" s="34"/>
      <c r="H4436" s="30" t="s">
        <v>4998</v>
      </c>
      <c r="I4436" s="34"/>
      <c r="J4436" s="25"/>
      <c r="K4436" s="33"/>
      <c r="L4436" s="41"/>
      <c r="M4436" s="33"/>
      <c r="N4436" s="33">
        <v>41.58</v>
      </c>
      <c r="O4436" s="31">
        <f t="shared" si="105"/>
        <v>41.58</v>
      </c>
      <c r="P4436" s="185"/>
      <c r="Q4436" s="185"/>
    </row>
    <row r="4437" spans="1:17" hidden="1" outlineLevel="1">
      <c r="E4437" s="20"/>
      <c r="F4437" s="21"/>
      <c r="G4437" s="34"/>
      <c r="H4437" s="30" t="s">
        <v>4999</v>
      </c>
      <c r="I4437" s="34"/>
      <c r="J4437" s="25"/>
      <c r="K4437" s="33"/>
      <c r="L4437" s="41"/>
      <c r="M4437" s="33"/>
      <c r="N4437" s="33">
        <v>8.66</v>
      </c>
      <c r="O4437" s="31">
        <f t="shared" si="105"/>
        <v>8.66</v>
      </c>
      <c r="P4437" s="185"/>
      <c r="Q4437" s="185"/>
    </row>
    <row r="4438" spans="1:17" hidden="1" outlineLevel="1">
      <c r="E4438" s="20"/>
      <c r="F4438" s="21"/>
      <c r="G4438" s="34"/>
      <c r="H4438" s="30" t="s">
        <v>5000</v>
      </c>
      <c r="I4438" s="34"/>
      <c r="J4438" s="25"/>
      <c r="K4438" s="33"/>
      <c r="L4438" s="41"/>
      <c r="M4438" s="33"/>
      <c r="N4438" s="33">
        <v>41.58</v>
      </c>
      <c r="O4438" s="31">
        <f t="shared" si="105"/>
        <v>41.58</v>
      </c>
      <c r="P4438" s="185"/>
      <c r="Q4438" s="185"/>
    </row>
    <row r="4439" spans="1:17" hidden="1" outlineLevel="1">
      <c r="E4439" s="20"/>
      <c r="F4439" s="21"/>
      <c r="G4439" s="34"/>
      <c r="H4439" s="30" t="s">
        <v>20</v>
      </c>
      <c r="I4439" s="34"/>
      <c r="J4439" s="25"/>
      <c r="K4439" s="33"/>
      <c r="L4439" s="41"/>
      <c r="M4439" s="33"/>
      <c r="N4439" s="33">
        <v>862.2</v>
      </c>
      <c r="O4439" s="31">
        <f t="shared" si="105"/>
        <v>862.2</v>
      </c>
      <c r="P4439" s="185"/>
      <c r="Q4439" s="185"/>
    </row>
    <row r="4440" spans="1:17" ht="45" hidden="1" outlineLevel="1">
      <c r="A4440" s="2">
        <v>10</v>
      </c>
      <c r="B4440" s="2">
        <v>6</v>
      </c>
      <c r="C4440" s="2">
        <f>C4433+1</f>
        <v>4</v>
      </c>
      <c r="E4440" s="20" t="str">
        <f>CONCATENATE(A4440,".",B4440,".",C4440)</f>
        <v>10.6.4</v>
      </c>
      <c r="F4440" s="21" t="s">
        <v>5003</v>
      </c>
      <c r="G4440" s="22" t="s">
        <v>218</v>
      </c>
      <c r="H4440" s="23" t="s">
        <v>219</v>
      </c>
      <c r="I4440" s="24" t="s">
        <v>45</v>
      </c>
      <c r="J4440" s="25"/>
      <c r="K4440" s="10"/>
      <c r="L4440" s="32"/>
      <c r="M4440" s="10"/>
      <c r="N4440" s="33"/>
      <c r="O4440" s="27">
        <f>SUM(O4441:O4448)</f>
        <v>245.3</v>
      </c>
      <c r="P4440" s="185"/>
      <c r="Q4440" s="185"/>
    </row>
    <row r="4441" spans="1:17" hidden="1" outlineLevel="1">
      <c r="E4441" s="20"/>
      <c r="F4441" s="21"/>
      <c r="G4441" s="34"/>
      <c r="H4441" s="30" t="s">
        <v>4973</v>
      </c>
      <c r="I4441" s="35"/>
      <c r="J4441" s="25"/>
      <c r="K4441" s="33"/>
      <c r="L4441" s="41"/>
      <c r="M4441" s="33"/>
      <c r="N4441" s="33">
        <v>22.35</v>
      </c>
      <c r="O4441" s="31">
        <f>ROUND(PRODUCT(J4441:N4441),2)</f>
        <v>22.35</v>
      </c>
      <c r="P4441" s="185"/>
      <c r="Q4441" s="185"/>
    </row>
    <row r="4442" spans="1:17" hidden="1" outlineLevel="1">
      <c r="E4442" s="20"/>
      <c r="F4442" s="21"/>
      <c r="G4442" s="34"/>
      <c r="H4442" s="30" t="s">
        <v>4997</v>
      </c>
      <c r="I4442" s="35"/>
      <c r="J4442" s="25"/>
      <c r="K4442" s="33"/>
      <c r="L4442" s="41"/>
      <c r="M4442" s="33"/>
      <c r="N4442" s="33">
        <v>8.66</v>
      </c>
      <c r="O4442" s="31">
        <f>ROUND(PRODUCT(J4442:N4442),2)</f>
        <v>8.66</v>
      </c>
      <c r="P4442" s="185"/>
      <c r="Q4442" s="185"/>
    </row>
    <row r="4443" spans="1:17" hidden="1" outlineLevel="1">
      <c r="E4443" s="20"/>
      <c r="F4443" s="21"/>
      <c r="G4443" s="34"/>
      <c r="H4443" s="30" t="s">
        <v>4998</v>
      </c>
      <c r="I4443" s="34"/>
      <c r="J4443" s="25"/>
      <c r="K4443" s="33"/>
      <c r="L4443" s="41"/>
      <c r="M4443" s="33"/>
      <c r="N4443" s="33">
        <v>41.58</v>
      </c>
      <c r="O4443" s="31">
        <f t="shared" ref="O4443:O4448" si="106">ROUND(PRODUCT(J4443:N4443),2)</f>
        <v>41.58</v>
      </c>
      <c r="P4443" s="185"/>
      <c r="Q4443" s="185"/>
    </row>
    <row r="4444" spans="1:17" hidden="1" outlineLevel="1">
      <c r="E4444" s="20"/>
      <c r="F4444" s="21"/>
      <c r="G4444" s="34"/>
      <c r="H4444" s="30" t="s">
        <v>4999</v>
      </c>
      <c r="I4444" s="34"/>
      <c r="J4444" s="25"/>
      <c r="K4444" s="33"/>
      <c r="L4444" s="41"/>
      <c r="M4444" s="33"/>
      <c r="N4444" s="33">
        <v>8.66</v>
      </c>
      <c r="O4444" s="31">
        <f t="shared" si="106"/>
        <v>8.66</v>
      </c>
      <c r="P4444" s="185"/>
      <c r="Q4444" s="185"/>
    </row>
    <row r="4445" spans="1:17" hidden="1" outlineLevel="1">
      <c r="E4445" s="20"/>
      <c r="F4445" s="21"/>
      <c r="G4445" s="34"/>
      <c r="H4445" s="30" t="s">
        <v>5000</v>
      </c>
      <c r="I4445" s="34"/>
      <c r="J4445" s="25"/>
      <c r="K4445" s="33"/>
      <c r="L4445" s="41"/>
      <c r="M4445" s="33"/>
      <c r="N4445" s="33">
        <v>41.58</v>
      </c>
      <c r="O4445" s="31">
        <f t="shared" si="106"/>
        <v>41.58</v>
      </c>
      <c r="P4445" s="185"/>
      <c r="Q4445" s="185"/>
    </row>
    <row r="4446" spans="1:17" hidden="1" outlineLevel="1">
      <c r="E4446" s="20"/>
      <c r="F4446" s="21"/>
      <c r="G4446" s="34"/>
      <c r="H4446" s="30" t="s">
        <v>3030</v>
      </c>
      <c r="I4446" s="34"/>
      <c r="J4446" s="25"/>
      <c r="K4446" s="33"/>
      <c r="L4446" s="41"/>
      <c r="M4446" s="33"/>
      <c r="N4446" s="33">
        <v>19.34</v>
      </c>
      <c r="O4446" s="31">
        <f t="shared" si="106"/>
        <v>19.34</v>
      </c>
      <c r="P4446" s="185"/>
      <c r="Q4446" s="185"/>
    </row>
    <row r="4447" spans="1:17" hidden="1" outlineLevel="1">
      <c r="E4447" s="20"/>
      <c r="F4447" s="21"/>
      <c r="G4447" s="34"/>
      <c r="H4447" s="30" t="s">
        <v>3030</v>
      </c>
      <c r="I4447" s="34"/>
      <c r="J4447" s="25"/>
      <c r="K4447" s="33"/>
      <c r="L4447" s="41"/>
      <c r="M4447" s="33"/>
      <c r="N4447" s="33">
        <v>23.71</v>
      </c>
      <c r="O4447" s="31">
        <f t="shared" si="106"/>
        <v>23.71</v>
      </c>
      <c r="P4447" s="185"/>
      <c r="Q4447" s="185"/>
    </row>
    <row r="4448" spans="1:17" hidden="1" outlineLevel="1">
      <c r="E4448" s="20"/>
      <c r="F4448" s="21"/>
      <c r="G4448" s="34"/>
      <c r="H4448" s="30" t="s">
        <v>3030</v>
      </c>
      <c r="I4448" s="34"/>
      <c r="J4448" s="25"/>
      <c r="K4448" s="33"/>
      <c r="L4448" s="41"/>
      <c r="M4448" s="33"/>
      <c r="N4448" s="33">
        <v>79.42</v>
      </c>
      <c r="O4448" s="31">
        <f t="shared" si="106"/>
        <v>79.42</v>
      </c>
      <c r="P4448" s="185"/>
      <c r="Q4448" s="185"/>
    </row>
    <row r="4449" spans="1:17" ht="30" hidden="1" outlineLevel="1">
      <c r="E4449" s="20"/>
      <c r="F4449" s="21" t="s">
        <v>5004</v>
      </c>
      <c r="G4449" s="22">
        <v>102494</v>
      </c>
      <c r="H4449" s="23" t="s">
        <v>1738</v>
      </c>
      <c r="I4449" s="24" t="s">
        <v>45</v>
      </c>
      <c r="J4449" s="25"/>
      <c r="K4449" s="10"/>
      <c r="L4449" s="32"/>
      <c r="M4449" s="10"/>
      <c r="N4449" s="33"/>
      <c r="O4449" s="27">
        <f>SUM(O4450:O4450)</f>
        <v>862.2</v>
      </c>
      <c r="P4449" s="185"/>
      <c r="Q4449" s="185"/>
    </row>
    <row r="4450" spans="1:17" hidden="1" outlineLevel="1">
      <c r="E4450" s="20"/>
      <c r="F4450" s="21"/>
      <c r="G4450" s="34"/>
      <c r="H4450" s="30"/>
      <c r="I4450" s="35"/>
      <c r="J4450" s="25"/>
      <c r="K4450" s="33"/>
      <c r="L4450" s="41"/>
      <c r="M4450" s="33"/>
      <c r="N4450" s="33">
        <v>862.2</v>
      </c>
      <c r="O4450" s="31">
        <f>ROUND(PRODUCT(J4450:N4450),2)</f>
        <v>862.2</v>
      </c>
      <c r="P4450" s="185"/>
      <c r="Q4450" s="185"/>
    </row>
    <row r="4451" spans="1:17" ht="60" hidden="1" outlineLevel="1">
      <c r="E4451" s="20"/>
      <c r="F4451" s="21" t="s">
        <v>5005</v>
      </c>
      <c r="G4451" s="22" t="s">
        <v>230</v>
      </c>
      <c r="H4451" s="23" t="s">
        <v>231</v>
      </c>
      <c r="I4451" s="24" t="s">
        <v>45</v>
      </c>
      <c r="J4451" s="25"/>
      <c r="K4451" s="10"/>
      <c r="L4451" s="32"/>
      <c r="M4451" s="10"/>
      <c r="N4451" s="33"/>
      <c r="O4451" s="27">
        <f>SUM(O4452:O4455)</f>
        <v>144.82</v>
      </c>
      <c r="P4451" s="185"/>
      <c r="Q4451" s="185"/>
    </row>
    <row r="4452" spans="1:17" hidden="1" outlineLevel="1">
      <c r="E4452" s="20"/>
      <c r="F4452" s="21"/>
      <c r="G4452" s="34"/>
      <c r="H4452" s="30"/>
      <c r="I4452" s="35"/>
      <c r="J4452" s="25"/>
      <c r="K4452" s="33"/>
      <c r="L4452" s="41"/>
      <c r="M4452" s="33"/>
      <c r="N4452" s="33">
        <v>22.35</v>
      </c>
      <c r="O4452" s="31">
        <f>ROUND(PRODUCT(J4452:N4452),2)</f>
        <v>22.35</v>
      </c>
      <c r="P4452" s="185"/>
      <c r="Q4452" s="185"/>
    </row>
    <row r="4453" spans="1:17" hidden="1" outlineLevel="1">
      <c r="E4453" s="20"/>
      <c r="F4453" s="21"/>
      <c r="G4453" s="34"/>
      <c r="H4453" s="30"/>
      <c r="I4453" s="34"/>
      <c r="J4453" s="25"/>
      <c r="K4453" s="33"/>
      <c r="L4453" s="41"/>
      <c r="M4453" s="33"/>
      <c r="N4453" s="33">
        <v>19.34</v>
      </c>
      <c r="O4453" s="31">
        <f>ROUND(PRODUCT(J4453:N4453),2)</f>
        <v>19.34</v>
      </c>
      <c r="P4453" s="185"/>
      <c r="Q4453" s="185"/>
    </row>
    <row r="4454" spans="1:17" hidden="1" outlineLevel="1">
      <c r="E4454" s="20"/>
      <c r="F4454" s="21"/>
      <c r="G4454" s="34"/>
      <c r="H4454" s="30"/>
      <c r="I4454" s="34"/>
      <c r="J4454" s="25"/>
      <c r="K4454" s="33"/>
      <c r="L4454" s="41"/>
      <c r="M4454" s="33"/>
      <c r="N4454" s="33">
        <v>23.71</v>
      </c>
      <c r="O4454" s="31">
        <f>ROUND(PRODUCT(J4454:N4454),2)</f>
        <v>23.71</v>
      </c>
      <c r="P4454" s="185"/>
      <c r="Q4454" s="185"/>
    </row>
    <row r="4455" spans="1:17" hidden="1" outlineLevel="1">
      <c r="E4455" s="20"/>
      <c r="F4455" s="21"/>
      <c r="G4455" s="34"/>
      <c r="H4455" s="30"/>
      <c r="I4455" s="34"/>
      <c r="J4455" s="25"/>
      <c r="K4455" s="33"/>
      <c r="L4455" s="41"/>
      <c r="M4455" s="33"/>
      <c r="N4455" s="33">
        <v>79.42</v>
      </c>
      <c r="O4455" s="31">
        <f>ROUND(PRODUCT(J4455:N4455),2)</f>
        <v>79.42</v>
      </c>
      <c r="P4455" s="185"/>
      <c r="Q4455" s="185"/>
    </row>
    <row r="4456" spans="1:17" ht="45" hidden="1" outlineLevel="1">
      <c r="E4456" s="20"/>
      <c r="F4456" s="21" t="s">
        <v>5006</v>
      </c>
      <c r="G4456" s="22" t="s">
        <v>227</v>
      </c>
      <c r="H4456" s="23" t="s">
        <v>3040</v>
      </c>
      <c r="I4456" s="24" t="s">
        <v>45</v>
      </c>
      <c r="J4456" s="25"/>
      <c r="K4456" s="10"/>
      <c r="L4456" s="32"/>
      <c r="M4456" s="10"/>
      <c r="N4456" s="33"/>
      <c r="O4456" s="27">
        <f>SUM(O4457:O4460)</f>
        <v>100.47999999999999</v>
      </c>
      <c r="P4456" s="185"/>
      <c r="Q4456" s="185"/>
    </row>
    <row r="4457" spans="1:17" hidden="1" outlineLevel="1">
      <c r="E4457" s="20"/>
      <c r="F4457" s="21"/>
      <c r="G4457" s="34"/>
      <c r="H4457" s="30" t="s">
        <v>4997</v>
      </c>
      <c r="I4457" s="35"/>
      <c r="J4457" s="25"/>
      <c r="K4457" s="33"/>
      <c r="L4457" s="41"/>
      <c r="M4457" s="33"/>
      <c r="N4457" s="33">
        <v>8.66</v>
      </c>
      <c r="O4457" s="31">
        <f>ROUND(PRODUCT(J4457:N4457),2)</f>
        <v>8.66</v>
      </c>
      <c r="P4457" s="185"/>
      <c r="Q4457" s="185"/>
    </row>
    <row r="4458" spans="1:17" hidden="1" outlineLevel="1">
      <c r="E4458" s="20"/>
      <c r="F4458" s="21"/>
      <c r="G4458" s="34"/>
      <c r="H4458" s="30" t="s">
        <v>4998</v>
      </c>
      <c r="I4458" s="34"/>
      <c r="J4458" s="25"/>
      <c r="K4458" s="33"/>
      <c r="L4458" s="41"/>
      <c r="M4458" s="33"/>
      <c r="N4458" s="33">
        <v>41.58</v>
      </c>
      <c r="O4458" s="31">
        <f>ROUND(PRODUCT(J4458:N4458),2)</f>
        <v>41.58</v>
      </c>
      <c r="P4458" s="185"/>
      <c r="Q4458" s="185"/>
    </row>
    <row r="4459" spans="1:17" hidden="1" outlineLevel="1">
      <c r="E4459" s="20"/>
      <c r="F4459" s="21"/>
      <c r="G4459" s="34"/>
      <c r="H4459" s="30" t="s">
        <v>4999</v>
      </c>
      <c r="I4459" s="34"/>
      <c r="J4459" s="25"/>
      <c r="K4459" s="33"/>
      <c r="L4459" s="41"/>
      <c r="M4459" s="33"/>
      <c r="N4459" s="33">
        <v>8.66</v>
      </c>
      <c r="O4459" s="31">
        <f>ROUND(PRODUCT(J4459:N4459),2)</f>
        <v>8.66</v>
      </c>
      <c r="P4459" s="185"/>
      <c r="Q4459" s="185"/>
    </row>
    <row r="4460" spans="1:17" hidden="1" outlineLevel="1">
      <c r="E4460" s="20"/>
      <c r="F4460" s="21"/>
      <c r="G4460" s="34"/>
      <c r="H4460" s="30" t="s">
        <v>5000</v>
      </c>
      <c r="I4460" s="34"/>
      <c r="J4460" s="25"/>
      <c r="K4460" s="33"/>
      <c r="L4460" s="41"/>
      <c r="M4460" s="33"/>
      <c r="N4460" s="33">
        <v>41.58</v>
      </c>
      <c r="O4460" s="31">
        <f>ROUND(PRODUCT(J4460:N4460),2)</f>
        <v>41.58</v>
      </c>
      <c r="P4460" s="185"/>
      <c r="Q4460" s="185"/>
    </row>
    <row r="4461" spans="1:17" collapsed="1">
      <c r="A4461" s="2">
        <v>10</v>
      </c>
      <c r="B4461" s="2">
        <v>7</v>
      </c>
      <c r="E4461" s="42" t="str">
        <f>CONCATENATE(A4461,".",B4461)</f>
        <v>10.7</v>
      </c>
      <c r="F4461" s="45" t="s">
        <v>5007</v>
      </c>
      <c r="G4461" s="13"/>
      <c r="H4461" s="14" t="s">
        <v>257</v>
      </c>
      <c r="I4461" s="15"/>
      <c r="J4461" s="16"/>
      <c r="K4461" s="17"/>
      <c r="L4461" s="16"/>
      <c r="M4461" s="17"/>
      <c r="N4461" s="18"/>
      <c r="O4461" s="19"/>
      <c r="P4461" s="185"/>
      <c r="Q4461" s="185"/>
    </row>
    <row r="4462" spans="1:17" ht="45" hidden="1" outlineLevel="1">
      <c r="A4462" s="2">
        <v>10</v>
      </c>
      <c r="B4462" s="2">
        <v>7</v>
      </c>
      <c r="C4462" s="2">
        <v>1</v>
      </c>
      <c r="E4462" s="20" t="str">
        <f>CONCATENATE(A4462,".",B4462,".",C4462)</f>
        <v>10.7.1</v>
      </c>
      <c r="F4462" s="21" t="s">
        <v>5008</v>
      </c>
      <c r="G4462" s="22" t="s">
        <v>259</v>
      </c>
      <c r="H4462" s="23" t="s">
        <v>3067</v>
      </c>
      <c r="I4462" s="24" t="s">
        <v>45</v>
      </c>
      <c r="J4462" s="25"/>
      <c r="K4462" s="10"/>
      <c r="L4462" s="32"/>
      <c r="M4462" s="10"/>
      <c r="N4462" s="33"/>
      <c r="O4462" s="27">
        <f>SUM(O4463:O4471)</f>
        <v>1471.62</v>
      </c>
      <c r="P4462" s="185"/>
      <c r="Q4462" s="185"/>
    </row>
    <row r="4463" spans="1:17" hidden="1" outlineLevel="1">
      <c r="E4463" s="20"/>
      <c r="F4463" s="21"/>
      <c r="G4463" s="34"/>
      <c r="H4463" s="30" t="s">
        <v>4973</v>
      </c>
      <c r="I4463" s="35"/>
      <c r="J4463" s="25"/>
      <c r="K4463" s="33">
        <v>17.63</v>
      </c>
      <c r="L4463" s="41"/>
      <c r="M4463" s="33"/>
      <c r="N4463" s="33">
        <v>2.82</v>
      </c>
      <c r="O4463" s="31">
        <f>ROUND(PRODUCT(J4463:N4463),2)</f>
        <v>49.72</v>
      </c>
      <c r="P4463" s="185"/>
      <c r="Q4463" s="185"/>
    </row>
    <row r="4464" spans="1:17" hidden="1" outlineLevel="1">
      <c r="E4464" s="20"/>
      <c r="F4464" s="21"/>
      <c r="G4464" s="34"/>
      <c r="H4464" s="30" t="s">
        <v>4997</v>
      </c>
      <c r="I4464" s="35"/>
      <c r="J4464" s="25"/>
      <c r="K4464" s="33">
        <v>13.6</v>
      </c>
      <c r="L4464" s="41"/>
      <c r="M4464" s="33"/>
      <c r="N4464" s="33">
        <v>2.82</v>
      </c>
      <c r="O4464" s="31">
        <f t="shared" ref="O4464:O4471" si="107">ROUND(PRODUCT(J4464:N4464),2)</f>
        <v>38.35</v>
      </c>
      <c r="P4464" s="185"/>
      <c r="Q4464" s="185"/>
    </row>
    <row r="4465" spans="1:17" hidden="1" outlineLevel="1">
      <c r="E4465" s="20"/>
      <c r="F4465" s="21"/>
      <c r="G4465" s="34"/>
      <c r="H4465" s="30" t="s">
        <v>4998</v>
      </c>
      <c r="I4465" s="35"/>
      <c r="J4465" s="25"/>
      <c r="K4465" s="33">
        <v>26.33</v>
      </c>
      <c r="L4465" s="41"/>
      <c r="M4465" s="33"/>
      <c r="N4465" s="33">
        <v>2.82</v>
      </c>
      <c r="O4465" s="31">
        <f t="shared" si="107"/>
        <v>74.25</v>
      </c>
      <c r="P4465" s="185"/>
      <c r="Q4465" s="185"/>
    </row>
    <row r="4466" spans="1:17" hidden="1" outlineLevel="1">
      <c r="E4466" s="20"/>
      <c r="F4466" s="21"/>
      <c r="G4466" s="34"/>
      <c r="H4466" s="30" t="s">
        <v>4999</v>
      </c>
      <c r="I4466" s="35"/>
      <c r="J4466" s="25"/>
      <c r="K4466" s="33">
        <v>26.33</v>
      </c>
      <c r="L4466" s="41"/>
      <c r="M4466" s="33"/>
      <c r="N4466" s="33">
        <v>2.82</v>
      </c>
      <c r="O4466" s="31">
        <f t="shared" si="107"/>
        <v>74.25</v>
      </c>
      <c r="P4466" s="185"/>
      <c r="Q4466" s="185"/>
    </row>
    <row r="4467" spans="1:17" hidden="1" outlineLevel="1">
      <c r="E4467" s="20"/>
      <c r="F4467" s="21"/>
      <c r="G4467" s="34"/>
      <c r="H4467" s="30" t="s">
        <v>5000</v>
      </c>
      <c r="I4467" s="35"/>
      <c r="J4467" s="25"/>
      <c r="K4467" s="33">
        <v>13.6</v>
      </c>
      <c r="L4467" s="41"/>
      <c r="M4467" s="33"/>
      <c r="N4467" s="33">
        <v>2.82</v>
      </c>
      <c r="O4467" s="31">
        <f t="shared" si="107"/>
        <v>38.35</v>
      </c>
      <c r="P4467" s="185"/>
      <c r="Q4467" s="185"/>
    </row>
    <row r="4468" spans="1:17" hidden="1" outlineLevel="1">
      <c r="E4468" s="20"/>
      <c r="F4468" s="21"/>
      <c r="G4468" s="34"/>
      <c r="H4468" s="30" t="s">
        <v>3030</v>
      </c>
      <c r="I4468" s="35"/>
      <c r="J4468" s="25"/>
      <c r="K4468" s="33">
        <v>17.63</v>
      </c>
      <c r="L4468" s="41"/>
      <c r="M4468" s="33"/>
      <c r="N4468" s="33">
        <v>4.79</v>
      </c>
      <c r="O4468" s="31">
        <f t="shared" si="107"/>
        <v>84.45</v>
      </c>
      <c r="P4468" s="185"/>
      <c r="Q4468" s="185"/>
    </row>
    <row r="4469" spans="1:17" hidden="1" outlineLevel="1">
      <c r="E4469" s="20"/>
      <c r="F4469" s="21"/>
      <c r="G4469" s="34"/>
      <c r="H4469" s="30" t="s">
        <v>3030</v>
      </c>
      <c r="I4469" s="35"/>
      <c r="J4469" s="25"/>
      <c r="K4469" s="33">
        <v>19.5</v>
      </c>
      <c r="L4469" s="41"/>
      <c r="M4469" s="33"/>
      <c r="N4469" s="33">
        <v>4.79</v>
      </c>
      <c r="O4469" s="31">
        <f t="shared" si="107"/>
        <v>93.41</v>
      </c>
      <c r="P4469" s="185"/>
      <c r="Q4469" s="185"/>
    </row>
    <row r="4470" spans="1:17" hidden="1" outlineLevel="1">
      <c r="E4470" s="20"/>
      <c r="F4470" s="21"/>
      <c r="G4470" s="34"/>
      <c r="H4470" s="30" t="s">
        <v>3030</v>
      </c>
      <c r="I4470" s="35"/>
      <c r="J4470" s="25"/>
      <c r="K4470" s="33">
        <v>25.53</v>
      </c>
      <c r="L4470" s="41"/>
      <c r="M4470" s="33"/>
      <c r="N4470" s="33">
        <v>4.79</v>
      </c>
      <c r="O4470" s="31">
        <f t="shared" si="107"/>
        <v>122.29</v>
      </c>
      <c r="P4470" s="185"/>
      <c r="Q4470" s="185"/>
    </row>
    <row r="4471" spans="1:17" hidden="1" outlineLevel="1">
      <c r="E4471" s="20"/>
      <c r="F4471" s="21"/>
      <c r="G4471" s="34"/>
      <c r="H4471" s="30" t="s">
        <v>20</v>
      </c>
      <c r="I4471" s="35"/>
      <c r="J4471" s="25"/>
      <c r="K4471" s="33">
        <v>119.7</v>
      </c>
      <c r="L4471" s="41"/>
      <c r="M4471" s="33"/>
      <c r="N4471" s="33">
        <v>7.49</v>
      </c>
      <c r="O4471" s="31">
        <f t="shared" si="107"/>
        <v>896.55</v>
      </c>
      <c r="P4471" s="185"/>
      <c r="Q4471" s="185"/>
    </row>
    <row r="4472" spans="1:17" ht="45" hidden="1" outlineLevel="1">
      <c r="A4472" s="2">
        <v>10</v>
      </c>
      <c r="B4472" s="2">
        <v>7</v>
      </c>
      <c r="C4472" s="2">
        <f>C4462+1</f>
        <v>2</v>
      </c>
      <c r="E4472" s="20" t="str">
        <f>CONCATENATE(A4472,".",B4472,".",C4472)</f>
        <v>10.7.2</v>
      </c>
      <c r="F4472" s="21" t="s">
        <v>5009</v>
      </c>
      <c r="G4472" s="22" t="s">
        <v>262</v>
      </c>
      <c r="H4472" s="23" t="s">
        <v>3073</v>
      </c>
      <c r="I4472" s="24" t="s">
        <v>45</v>
      </c>
      <c r="J4472" s="25"/>
      <c r="K4472" s="10"/>
      <c r="L4472" s="32"/>
      <c r="M4472" s="10"/>
      <c r="N4472" s="33"/>
      <c r="O4472" s="27">
        <f>SUM(O4473:O4473)</f>
        <v>919.1</v>
      </c>
      <c r="P4472" s="185"/>
      <c r="Q4472" s="185"/>
    </row>
    <row r="4473" spans="1:17" hidden="1" outlineLevel="1">
      <c r="E4473" s="20"/>
      <c r="F4473" s="21"/>
      <c r="G4473" s="34"/>
      <c r="H4473" s="30"/>
      <c r="I4473" s="35"/>
      <c r="J4473" s="25"/>
      <c r="K4473" s="33">
        <v>131.30000000000001</v>
      </c>
      <c r="L4473" s="41"/>
      <c r="M4473" s="33"/>
      <c r="N4473" s="33">
        <v>7</v>
      </c>
      <c r="O4473" s="31">
        <f>ROUND(PRODUCT(J4473:N4473),2)</f>
        <v>919.1</v>
      </c>
      <c r="P4473" s="185"/>
      <c r="Q4473" s="185"/>
    </row>
    <row r="4474" spans="1:17" ht="60" hidden="1" outlineLevel="1">
      <c r="A4474" s="2">
        <v>10</v>
      </c>
      <c r="B4474" s="2">
        <v>7</v>
      </c>
      <c r="C4474" s="2">
        <f>C4472+1</f>
        <v>3</v>
      </c>
      <c r="E4474" s="20" t="str">
        <f>CONCATENATE(A4474,".",B4474,".",C4474)</f>
        <v>10.7.3</v>
      </c>
      <c r="F4474" s="21" t="s">
        <v>5010</v>
      </c>
      <c r="G4474" s="22">
        <v>87829</v>
      </c>
      <c r="H4474" s="23" t="s">
        <v>266</v>
      </c>
      <c r="I4474" s="24" t="s">
        <v>45</v>
      </c>
      <c r="J4474" s="25"/>
      <c r="K4474" s="10"/>
      <c r="L4474" s="32"/>
      <c r="M4474" s="10"/>
      <c r="N4474" s="33"/>
      <c r="O4474" s="27">
        <f>SUM(O4475:O4475)</f>
        <v>49.72</v>
      </c>
      <c r="P4474" s="185"/>
      <c r="Q4474" s="185"/>
    </row>
    <row r="4475" spans="1:17" hidden="1" outlineLevel="1">
      <c r="E4475" s="20"/>
      <c r="F4475" s="21"/>
      <c r="G4475" s="34"/>
      <c r="H4475" s="30" t="s">
        <v>4973</v>
      </c>
      <c r="I4475" s="35"/>
      <c r="J4475" s="25"/>
      <c r="K4475" s="33">
        <v>17.63</v>
      </c>
      <c r="L4475" s="41"/>
      <c r="M4475" s="33"/>
      <c r="N4475" s="33">
        <v>2.82</v>
      </c>
      <c r="O4475" s="31">
        <f>ROUND(PRODUCT(J4475:N4475),2)</f>
        <v>49.72</v>
      </c>
      <c r="P4475" s="185"/>
      <c r="Q4475" s="185"/>
    </row>
    <row r="4476" spans="1:17" hidden="1" outlineLevel="1">
      <c r="E4476" s="20"/>
      <c r="F4476" s="21"/>
      <c r="G4476" s="34"/>
      <c r="H4476" s="30" t="s">
        <v>4997</v>
      </c>
      <c r="I4476" s="35"/>
      <c r="J4476" s="25"/>
      <c r="K4476" s="33">
        <v>13.6</v>
      </c>
      <c r="L4476" s="41"/>
      <c r="M4476" s="33"/>
      <c r="N4476" s="33">
        <v>2.82</v>
      </c>
      <c r="O4476" s="31">
        <f t="shared" ref="O4476:O4483" si="108">ROUND(PRODUCT(J4476:N4476),2)</f>
        <v>38.35</v>
      </c>
      <c r="P4476" s="185"/>
      <c r="Q4476" s="185"/>
    </row>
    <row r="4477" spans="1:17" hidden="1" outlineLevel="1">
      <c r="E4477" s="20"/>
      <c r="F4477" s="21"/>
      <c r="G4477" s="34"/>
      <c r="H4477" s="30" t="s">
        <v>4998</v>
      </c>
      <c r="I4477" s="35"/>
      <c r="J4477" s="25"/>
      <c r="K4477" s="33">
        <v>26.33</v>
      </c>
      <c r="L4477" s="41"/>
      <c r="M4477" s="33"/>
      <c r="N4477" s="33">
        <v>2.82</v>
      </c>
      <c r="O4477" s="31">
        <f t="shared" si="108"/>
        <v>74.25</v>
      </c>
      <c r="P4477" s="185"/>
      <c r="Q4477" s="185"/>
    </row>
    <row r="4478" spans="1:17" hidden="1" outlineLevel="1">
      <c r="E4478" s="20"/>
      <c r="F4478" s="21"/>
      <c r="G4478" s="34"/>
      <c r="H4478" s="30" t="s">
        <v>4999</v>
      </c>
      <c r="I4478" s="35"/>
      <c r="J4478" s="25"/>
      <c r="K4478" s="33">
        <v>26.33</v>
      </c>
      <c r="L4478" s="41"/>
      <c r="M4478" s="33"/>
      <c r="N4478" s="33">
        <v>2.82</v>
      </c>
      <c r="O4478" s="31">
        <f t="shared" si="108"/>
        <v>74.25</v>
      </c>
      <c r="P4478" s="185"/>
      <c r="Q4478" s="185"/>
    </row>
    <row r="4479" spans="1:17" hidden="1" outlineLevel="1">
      <c r="E4479" s="20"/>
      <c r="F4479" s="21"/>
      <c r="G4479" s="34"/>
      <c r="H4479" s="30" t="s">
        <v>5000</v>
      </c>
      <c r="I4479" s="35"/>
      <c r="J4479" s="25"/>
      <c r="K4479" s="33">
        <v>13.6</v>
      </c>
      <c r="L4479" s="41"/>
      <c r="M4479" s="33"/>
      <c r="N4479" s="33">
        <v>2.82</v>
      </c>
      <c r="O4479" s="31">
        <f t="shared" si="108"/>
        <v>38.35</v>
      </c>
      <c r="P4479" s="185"/>
      <c r="Q4479" s="185"/>
    </row>
    <row r="4480" spans="1:17" hidden="1" outlineLevel="1">
      <c r="E4480" s="20"/>
      <c r="F4480" s="21"/>
      <c r="G4480" s="34"/>
      <c r="H4480" s="30" t="s">
        <v>3030</v>
      </c>
      <c r="I4480" s="35"/>
      <c r="J4480" s="25"/>
      <c r="K4480" s="33">
        <v>17.63</v>
      </c>
      <c r="L4480" s="41"/>
      <c r="M4480" s="33"/>
      <c r="N4480" s="33">
        <v>4.79</v>
      </c>
      <c r="O4480" s="31">
        <f t="shared" si="108"/>
        <v>84.45</v>
      </c>
      <c r="P4480" s="185"/>
      <c r="Q4480" s="185"/>
    </row>
    <row r="4481" spans="1:17" hidden="1" outlineLevel="1">
      <c r="E4481" s="20"/>
      <c r="F4481" s="21"/>
      <c r="G4481" s="34"/>
      <c r="H4481" s="30" t="s">
        <v>3030</v>
      </c>
      <c r="I4481" s="35"/>
      <c r="J4481" s="25"/>
      <c r="K4481" s="33">
        <v>19.5</v>
      </c>
      <c r="L4481" s="41"/>
      <c r="M4481" s="33"/>
      <c r="N4481" s="33">
        <v>4.79</v>
      </c>
      <c r="O4481" s="31">
        <f t="shared" si="108"/>
        <v>93.41</v>
      </c>
      <c r="P4481" s="185"/>
      <c r="Q4481" s="185"/>
    </row>
    <row r="4482" spans="1:17" hidden="1" outlineLevel="1">
      <c r="E4482" s="20"/>
      <c r="F4482" s="21"/>
      <c r="G4482" s="34"/>
      <c r="H4482" s="30" t="s">
        <v>3030</v>
      </c>
      <c r="I4482" s="35"/>
      <c r="J4482" s="25"/>
      <c r="K4482" s="33">
        <v>25.53</v>
      </c>
      <c r="L4482" s="41"/>
      <c r="M4482" s="33"/>
      <c r="N4482" s="33">
        <v>4.79</v>
      </c>
      <c r="O4482" s="31">
        <f t="shared" si="108"/>
        <v>122.29</v>
      </c>
      <c r="P4482" s="185"/>
      <c r="Q4482" s="185"/>
    </row>
    <row r="4483" spans="1:17" hidden="1" outlineLevel="1">
      <c r="E4483" s="20"/>
      <c r="F4483" s="21"/>
      <c r="G4483" s="34"/>
      <c r="H4483" s="30" t="s">
        <v>20</v>
      </c>
      <c r="I4483" s="35"/>
      <c r="J4483" s="25"/>
      <c r="K4483" s="33">
        <v>119.7</v>
      </c>
      <c r="L4483" s="41"/>
      <c r="M4483" s="33"/>
      <c r="N4483" s="33">
        <v>7.49</v>
      </c>
      <c r="O4483" s="31">
        <f t="shared" si="108"/>
        <v>896.55</v>
      </c>
      <c r="P4483" s="185"/>
      <c r="Q4483" s="185"/>
    </row>
    <row r="4484" spans="1:17" ht="45" hidden="1" outlineLevel="1">
      <c r="A4484" s="2">
        <v>10</v>
      </c>
      <c r="B4484" s="2">
        <v>7</v>
      </c>
      <c r="C4484" s="2">
        <f>C4474+1</f>
        <v>4</v>
      </c>
      <c r="E4484" s="20" t="str">
        <f>CONCATENATE(A4484,".",B4484,".",C4484)</f>
        <v>10.7.4</v>
      </c>
      <c r="F4484" s="21" t="s">
        <v>5011</v>
      </c>
      <c r="G4484" s="22">
        <v>87779</v>
      </c>
      <c r="H4484" s="23" t="s">
        <v>269</v>
      </c>
      <c r="I4484" s="24" t="s">
        <v>45</v>
      </c>
      <c r="J4484" s="25"/>
      <c r="K4484" s="10"/>
      <c r="L4484" s="32"/>
      <c r="M4484" s="10"/>
      <c r="N4484" s="33"/>
      <c r="O4484" s="27">
        <f>SUM(O4485:O4485)</f>
        <v>919.1</v>
      </c>
      <c r="P4484" s="185"/>
      <c r="Q4484" s="185"/>
    </row>
    <row r="4485" spans="1:17" hidden="1" outlineLevel="1">
      <c r="E4485" s="20"/>
      <c r="F4485" s="21"/>
      <c r="G4485" s="34"/>
      <c r="H4485" s="30"/>
      <c r="I4485" s="35"/>
      <c r="J4485" s="25"/>
      <c r="K4485" s="33">
        <v>131.30000000000001</v>
      </c>
      <c r="L4485" s="41"/>
      <c r="M4485" s="33"/>
      <c r="N4485" s="33">
        <v>7</v>
      </c>
      <c r="O4485" s="31">
        <f>ROUND(PRODUCT(J4485:N4485),2)</f>
        <v>919.1</v>
      </c>
      <c r="P4485" s="185"/>
      <c r="Q4485" s="185"/>
    </row>
    <row r="4486" spans="1:17" ht="45" hidden="1" outlineLevel="1">
      <c r="A4486" s="2">
        <v>10</v>
      </c>
      <c r="B4486" s="2">
        <v>7</v>
      </c>
      <c r="C4486" s="2">
        <f>C4484+1</f>
        <v>5</v>
      </c>
      <c r="E4486" s="20" t="str">
        <f>CONCATENATE(A4486,".",B4486,".",C4486)</f>
        <v>10.7.5</v>
      </c>
      <c r="F4486" s="21" t="s">
        <v>5012</v>
      </c>
      <c r="G4486" s="22" t="s">
        <v>271</v>
      </c>
      <c r="H4486" s="23" t="s">
        <v>272</v>
      </c>
      <c r="I4486" s="24" t="s">
        <v>45</v>
      </c>
      <c r="J4486" s="25"/>
      <c r="K4486" s="10"/>
      <c r="L4486" s="32"/>
      <c r="M4486" s="10"/>
      <c r="N4486" s="33"/>
      <c r="O4486" s="27">
        <f>SUM(O4487:O4490)</f>
        <v>225.2</v>
      </c>
      <c r="P4486" s="185"/>
      <c r="Q4486" s="185"/>
    </row>
    <row r="4487" spans="1:17" hidden="1" outlineLevel="1">
      <c r="E4487" s="20"/>
      <c r="F4487" s="21"/>
      <c r="G4487" s="34"/>
      <c r="H4487" s="30" t="s">
        <v>4997</v>
      </c>
      <c r="I4487" s="35"/>
      <c r="J4487" s="25"/>
      <c r="K4487" s="33">
        <v>13.6</v>
      </c>
      <c r="L4487" s="41"/>
      <c r="M4487" s="33"/>
      <c r="N4487" s="33">
        <v>2.82</v>
      </c>
      <c r="O4487" s="31">
        <f>ROUND(PRODUCT(J4487:N4487),2)</f>
        <v>38.35</v>
      </c>
      <c r="P4487" s="185"/>
      <c r="Q4487" s="185"/>
    </row>
    <row r="4488" spans="1:17" hidden="1" outlineLevel="1">
      <c r="E4488" s="20"/>
      <c r="F4488" s="21"/>
      <c r="G4488" s="34"/>
      <c r="H4488" s="30" t="s">
        <v>4998</v>
      </c>
      <c r="I4488" s="35"/>
      <c r="J4488" s="25"/>
      <c r="K4488" s="33">
        <v>26.33</v>
      </c>
      <c r="L4488" s="41"/>
      <c r="M4488" s="33"/>
      <c r="N4488" s="33">
        <v>2.82</v>
      </c>
      <c r="O4488" s="31">
        <f>ROUND(PRODUCT(J4488:N4488),2)</f>
        <v>74.25</v>
      </c>
      <c r="P4488" s="185"/>
      <c r="Q4488" s="185"/>
    </row>
    <row r="4489" spans="1:17" hidden="1" outlineLevel="1">
      <c r="E4489" s="20"/>
      <c r="F4489" s="21"/>
      <c r="G4489" s="34"/>
      <c r="H4489" s="30" t="s">
        <v>4999</v>
      </c>
      <c r="I4489" s="35"/>
      <c r="J4489" s="25"/>
      <c r="K4489" s="33">
        <v>26.33</v>
      </c>
      <c r="L4489" s="41"/>
      <c r="M4489" s="33"/>
      <c r="N4489" s="33">
        <v>2.82</v>
      </c>
      <c r="O4489" s="31">
        <f>ROUND(PRODUCT(J4489:N4489),2)</f>
        <v>74.25</v>
      </c>
      <c r="P4489" s="185"/>
      <c r="Q4489" s="185"/>
    </row>
    <row r="4490" spans="1:17" hidden="1" outlineLevel="1">
      <c r="E4490" s="20"/>
      <c r="F4490" s="21"/>
      <c r="G4490" s="34"/>
      <c r="H4490" s="30" t="s">
        <v>5000</v>
      </c>
      <c r="I4490" s="35"/>
      <c r="J4490" s="25"/>
      <c r="K4490" s="33">
        <v>13.6</v>
      </c>
      <c r="L4490" s="41"/>
      <c r="M4490" s="33"/>
      <c r="N4490" s="33">
        <v>2.82</v>
      </c>
      <c r="O4490" s="31">
        <f>ROUND(PRODUCT(J4490:N4490),2)</f>
        <v>38.35</v>
      </c>
      <c r="P4490" s="185"/>
      <c r="Q4490" s="185"/>
    </row>
    <row r="4491" spans="1:17" hidden="1" outlineLevel="1">
      <c r="E4491" s="20"/>
      <c r="F4491" s="21" t="s">
        <v>5013</v>
      </c>
      <c r="G4491" s="22">
        <v>2249</v>
      </c>
      <c r="H4491" s="23" t="s">
        <v>275</v>
      </c>
      <c r="I4491" s="24" t="s">
        <v>45</v>
      </c>
      <c r="J4491" s="25"/>
      <c r="K4491" s="10"/>
      <c r="L4491" s="32"/>
      <c r="M4491" s="10"/>
      <c r="N4491" s="33"/>
      <c r="O4491" s="27">
        <f>SUM(O4492:O4496)</f>
        <v>1246.42</v>
      </c>
      <c r="P4491" s="185"/>
      <c r="Q4491" s="185"/>
    </row>
    <row r="4492" spans="1:17" hidden="1" outlineLevel="1">
      <c r="E4492" s="20"/>
      <c r="F4492" s="21"/>
      <c r="G4492" s="34"/>
      <c r="H4492" s="30" t="s">
        <v>4973</v>
      </c>
      <c r="I4492" s="35"/>
      <c r="J4492" s="25"/>
      <c r="K4492" s="33">
        <v>17.63</v>
      </c>
      <c r="L4492" s="41"/>
      <c r="M4492" s="33"/>
      <c r="N4492" s="33">
        <v>2.82</v>
      </c>
      <c r="O4492" s="31">
        <f>ROUND(PRODUCT(J4492:N4492),2)</f>
        <v>49.72</v>
      </c>
      <c r="P4492" s="185"/>
      <c r="Q4492" s="185"/>
    </row>
    <row r="4493" spans="1:17" hidden="1" outlineLevel="1">
      <c r="E4493" s="20"/>
      <c r="F4493" s="21"/>
      <c r="G4493" s="34"/>
      <c r="H4493" s="30" t="s">
        <v>3030</v>
      </c>
      <c r="I4493" s="35"/>
      <c r="J4493" s="25"/>
      <c r="K4493" s="33">
        <v>17.63</v>
      </c>
      <c r="L4493" s="41"/>
      <c r="M4493" s="33"/>
      <c r="N4493" s="33">
        <v>4.79</v>
      </c>
      <c r="O4493" s="31">
        <f>ROUND(PRODUCT(J4493:N4493),2)</f>
        <v>84.45</v>
      </c>
      <c r="P4493" s="185"/>
      <c r="Q4493" s="185"/>
    </row>
    <row r="4494" spans="1:17" hidden="1" outlineLevel="1">
      <c r="E4494" s="20"/>
      <c r="F4494" s="21"/>
      <c r="G4494" s="34"/>
      <c r="H4494" s="30" t="s">
        <v>3030</v>
      </c>
      <c r="I4494" s="35"/>
      <c r="J4494" s="25"/>
      <c r="K4494" s="33">
        <v>19.5</v>
      </c>
      <c r="L4494" s="41"/>
      <c r="M4494" s="33"/>
      <c r="N4494" s="33">
        <v>4.79</v>
      </c>
      <c r="O4494" s="31">
        <f>ROUND(PRODUCT(J4494:N4494),2)</f>
        <v>93.41</v>
      </c>
      <c r="P4494" s="185"/>
      <c r="Q4494" s="185"/>
    </row>
    <row r="4495" spans="1:17" hidden="1" outlineLevel="1">
      <c r="E4495" s="20"/>
      <c r="F4495" s="21"/>
      <c r="G4495" s="34"/>
      <c r="H4495" s="30" t="s">
        <v>3030</v>
      </c>
      <c r="I4495" s="35"/>
      <c r="J4495" s="25"/>
      <c r="K4495" s="33">
        <v>25.53</v>
      </c>
      <c r="L4495" s="41"/>
      <c r="M4495" s="33"/>
      <c r="N4495" s="33">
        <v>4.79</v>
      </c>
      <c r="O4495" s="31">
        <f>ROUND(PRODUCT(J4495:N4495),2)</f>
        <v>122.29</v>
      </c>
      <c r="P4495" s="185"/>
      <c r="Q4495" s="185"/>
    </row>
    <row r="4496" spans="1:17" hidden="1" outlineLevel="1">
      <c r="E4496" s="20"/>
      <c r="F4496" s="21"/>
      <c r="G4496" s="34"/>
      <c r="H4496" s="30" t="s">
        <v>20</v>
      </c>
      <c r="I4496" s="35"/>
      <c r="J4496" s="25"/>
      <c r="K4496" s="33">
        <v>119.7</v>
      </c>
      <c r="L4496" s="41"/>
      <c r="M4496" s="33"/>
      <c r="N4496" s="33">
        <v>7.49</v>
      </c>
      <c r="O4496" s="31">
        <f>ROUND(PRODUCT(J4496:N4496),2)</f>
        <v>896.55</v>
      </c>
      <c r="P4496" s="185"/>
      <c r="Q4496" s="185"/>
    </row>
    <row r="4497" spans="1:17" collapsed="1">
      <c r="A4497" s="2">
        <v>10</v>
      </c>
      <c r="B4497" s="2">
        <v>8</v>
      </c>
      <c r="E4497" s="42" t="str">
        <f>CONCATENATE(A4497,".",B4497)</f>
        <v>10.8</v>
      </c>
      <c r="F4497" s="45" t="s">
        <v>5014</v>
      </c>
      <c r="G4497" s="13"/>
      <c r="H4497" s="14" t="s">
        <v>302</v>
      </c>
      <c r="I4497" s="15"/>
      <c r="J4497" s="16"/>
      <c r="K4497" s="17"/>
      <c r="L4497" s="16"/>
      <c r="M4497" s="17"/>
      <c r="N4497" s="18"/>
      <c r="O4497" s="19"/>
      <c r="P4497" s="185"/>
      <c r="Q4497" s="185"/>
    </row>
    <row r="4498" spans="1:17" ht="30" hidden="1" outlineLevel="1">
      <c r="A4498" s="2">
        <v>10</v>
      </c>
      <c r="B4498" s="2">
        <v>8</v>
      </c>
      <c r="C4498" s="2">
        <v>1</v>
      </c>
      <c r="E4498" s="20" t="str">
        <f>CONCATENATE(A4498,".",B4498,".",C4498)</f>
        <v>10.8.1</v>
      </c>
      <c r="F4498" s="21" t="s">
        <v>5015</v>
      </c>
      <c r="G4498" s="22">
        <v>94805</v>
      </c>
      <c r="H4498" s="23" t="s">
        <v>1037</v>
      </c>
      <c r="I4498" s="24" t="s">
        <v>276</v>
      </c>
      <c r="J4498" s="32"/>
      <c r="K4498" s="10"/>
      <c r="L4498" s="32"/>
      <c r="M4498" s="10"/>
      <c r="N4498" s="33"/>
      <c r="O4498" s="27">
        <f>SUM(O4499:O4499)</f>
        <v>20.16</v>
      </c>
      <c r="P4498" s="185"/>
      <c r="Q4498" s="185"/>
    </row>
    <row r="4499" spans="1:17" hidden="1" outlineLevel="2">
      <c r="E4499" s="20"/>
      <c r="F4499" s="21"/>
      <c r="G4499" s="34"/>
      <c r="H4499" s="30"/>
      <c r="I4499" s="35"/>
      <c r="J4499" s="25"/>
      <c r="K4499" s="33">
        <v>0.8</v>
      </c>
      <c r="L4499" s="41">
        <v>1.8</v>
      </c>
      <c r="M4499" s="33"/>
      <c r="N4499" s="33">
        <v>14</v>
      </c>
      <c r="O4499" s="31">
        <f>ROUND(PRODUCT(J4499:N4499),2)</f>
        <v>20.16</v>
      </c>
      <c r="P4499" s="185"/>
      <c r="Q4499" s="185"/>
    </row>
    <row r="4500" spans="1:17" ht="30" hidden="1" outlineLevel="1">
      <c r="A4500" s="2">
        <v>10</v>
      </c>
      <c r="B4500" s="2">
        <v>8</v>
      </c>
      <c r="C4500" s="2">
        <f>C4498+1</f>
        <v>2</v>
      </c>
      <c r="E4500" s="20" t="str">
        <f>CONCATENATE(A4500,".",B4500,".",C4500)</f>
        <v>10.8.2</v>
      </c>
      <c r="F4500" s="21" t="s">
        <v>5016</v>
      </c>
      <c r="G4500" s="22">
        <v>2304</v>
      </c>
      <c r="H4500" s="23" t="s">
        <v>311</v>
      </c>
      <c r="I4500" s="24" t="s">
        <v>36</v>
      </c>
      <c r="J4500" s="25"/>
      <c r="K4500" s="10"/>
      <c r="L4500" s="32"/>
      <c r="M4500" s="10"/>
      <c r="N4500" s="33"/>
      <c r="O4500" s="27">
        <f>SUM(O4501:O4501)</f>
        <v>3</v>
      </c>
      <c r="P4500" s="185"/>
      <c r="Q4500" s="185"/>
    </row>
    <row r="4501" spans="1:17" hidden="1" outlineLevel="2">
      <c r="E4501" s="20"/>
      <c r="F4501" s="21"/>
      <c r="G4501" s="34"/>
      <c r="H4501" s="30"/>
      <c r="I4501" s="35"/>
      <c r="J4501" s="25"/>
      <c r="K4501" s="33"/>
      <c r="L4501" s="41"/>
      <c r="M4501" s="33"/>
      <c r="N4501" s="33">
        <v>3</v>
      </c>
      <c r="O4501" s="31">
        <f>ROUND(PRODUCT(J4501:N4501),2)</f>
        <v>3</v>
      </c>
      <c r="P4501" s="185"/>
      <c r="Q4501" s="185"/>
    </row>
    <row r="4502" spans="1:17" ht="30" hidden="1" outlineLevel="1">
      <c r="A4502" s="2">
        <v>10</v>
      </c>
      <c r="B4502" s="2">
        <v>8</v>
      </c>
      <c r="C4502" s="2">
        <f>C4500+1</f>
        <v>3</v>
      </c>
      <c r="E4502" s="20" t="str">
        <f>CONCATENATE(A4502,".",B4502,".",C4502)</f>
        <v>10.8.3</v>
      </c>
      <c r="F4502" s="21" t="s">
        <v>5017</v>
      </c>
      <c r="G4502" s="22">
        <v>91341</v>
      </c>
      <c r="H4502" s="23" t="s">
        <v>332</v>
      </c>
      <c r="I4502" s="24" t="s">
        <v>2798</v>
      </c>
      <c r="J4502" s="25"/>
      <c r="K4502" s="10"/>
      <c r="L4502" s="32"/>
      <c r="M4502" s="10"/>
      <c r="N4502" s="33"/>
      <c r="O4502" s="27">
        <f>SUM(O4503:O4503)</f>
        <v>5.67</v>
      </c>
      <c r="P4502" s="185"/>
      <c r="Q4502" s="185"/>
    </row>
    <row r="4503" spans="1:17" hidden="1" outlineLevel="2">
      <c r="E4503" s="20"/>
      <c r="F4503" s="21"/>
      <c r="G4503" s="34"/>
      <c r="H4503" s="30"/>
      <c r="I4503" s="35"/>
      <c r="J4503" s="25"/>
      <c r="K4503" s="33">
        <v>0.9</v>
      </c>
      <c r="L4503" s="41">
        <v>2.1</v>
      </c>
      <c r="M4503" s="33"/>
      <c r="N4503" s="33">
        <v>3</v>
      </c>
      <c r="O4503" s="31">
        <f>ROUND(PRODUCT(J4503:N4503),2)</f>
        <v>5.67</v>
      </c>
      <c r="P4503" s="185"/>
      <c r="Q4503" s="185"/>
    </row>
    <row r="4504" spans="1:17" hidden="1" outlineLevel="1">
      <c r="A4504" s="2">
        <v>10</v>
      </c>
      <c r="B4504" s="2">
        <v>8</v>
      </c>
      <c r="C4504" s="2">
        <f>C4502+1</f>
        <v>4</v>
      </c>
      <c r="E4504" s="20" t="str">
        <f>CONCATENATE(A4504,".",B4504,".",C4504)</f>
        <v>10.8.4</v>
      </c>
      <c r="F4504" s="21" t="s">
        <v>5018</v>
      </c>
      <c r="G4504" s="22">
        <v>2325</v>
      </c>
      <c r="H4504" s="23" t="s">
        <v>1033</v>
      </c>
      <c r="I4504" s="24" t="s">
        <v>45</v>
      </c>
      <c r="J4504" s="25"/>
      <c r="K4504" s="10"/>
      <c r="L4504" s="32"/>
      <c r="M4504" s="10"/>
      <c r="N4504" s="33"/>
      <c r="O4504" s="27">
        <f>SUM(O4505:O4505)</f>
        <v>19.2</v>
      </c>
      <c r="P4504" s="185"/>
      <c r="Q4504" s="185"/>
    </row>
    <row r="4505" spans="1:17" hidden="1" outlineLevel="2">
      <c r="E4505" s="20"/>
      <c r="F4505" s="21"/>
      <c r="G4505" s="34"/>
      <c r="H4505" s="30"/>
      <c r="I4505" s="35"/>
      <c r="J4505" s="25"/>
      <c r="K4505" s="33">
        <v>2</v>
      </c>
      <c r="L4505" s="41">
        <v>2.4</v>
      </c>
      <c r="M4505" s="33"/>
      <c r="N4505" s="33">
        <v>4</v>
      </c>
      <c r="O4505" s="31">
        <f>ROUND(PRODUCT(J4505:N4505),2)</f>
        <v>19.2</v>
      </c>
      <c r="P4505" s="185"/>
      <c r="Q4505" s="185"/>
    </row>
    <row r="4506" spans="1:17" ht="60" hidden="1" outlineLevel="1">
      <c r="A4506" s="2">
        <v>10</v>
      </c>
      <c r="B4506" s="2">
        <v>8</v>
      </c>
      <c r="C4506" s="2">
        <f>C4504+1</f>
        <v>5</v>
      </c>
      <c r="E4506" s="20" t="str">
        <f>CONCATENATE(A4506,".",B4506,".",C4506)</f>
        <v>10.8.5</v>
      </c>
      <c r="F4506" s="21" t="s">
        <v>5019</v>
      </c>
      <c r="G4506" s="22">
        <v>94559</v>
      </c>
      <c r="H4506" s="23" t="s">
        <v>3147</v>
      </c>
      <c r="I4506" s="24" t="s">
        <v>45</v>
      </c>
      <c r="J4506" s="25"/>
      <c r="K4506" s="10"/>
      <c r="L4506" s="32"/>
      <c r="M4506" s="10"/>
      <c r="N4506" s="33"/>
      <c r="O4506" s="27">
        <f>SUM(O4507:O4511)</f>
        <v>19.95</v>
      </c>
      <c r="P4506" s="185"/>
      <c r="Q4506" s="185"/>
    </row>
    <row r="4507" spans="1:17" hidden="1" outlineLevel="2">
      <c r="E4507" s="20"/>
      <c r="F4507" s="21"/>
      <c r="G4507" s="34"/>
      <c r="H4507" s="30"/>
      <c r="I4507" s="35"/>
      <c r="J4507" s="25"/>
      <c r="K4507" s="33">
        <v>1.29</v>
      </c>
      <c r="L4507" s="41">
        <v>0.66</v>
      </c>
      <c r="M4507" s="33"/>
      <c r="N4507" s="33">
        <v>2</v>
      </c>
      <c r="O4507" s="31">
        <f>ROUND(PRODUCT(J4507:N4507),2)</f>
        <v>1.7</v>
      </c>
      <c r="P4507" s="185"/>
      <c r="Q4507" s="185"/>
    </row>
    <row r="4508" spans="1:17" hidden="1" outlineLevel="2">
      <c r="E4508" s="20"/>
      <c r="F4508" s="21"/>
      <c r="G4508" s="34"/>
      <c r="H4508" s="30"/>
      <c r="I4508" s="35"/>
      <c r="J4508" s="25"/>
      <c r="K4508" s="33">
        <v>3.81</v>
      </c>
      <c r="L4508" s="41">
        <v>0.46</v>
      </c>
      <c r="M4508" s="33"/>
      <c r="N4508" s="33">
        <v>1</v>
      </c>
      <c r="O4508" s="31">
        <f>ROUND(PRODUCT(J4508:N4508),2)</f>
        <v>1.75</v>
      </c>
      <c r="P4508" s="185"/>
      <c r="Q4508" s="185"/>
    </row>
    <row r="4509" spans="1:17" hidden="1" outlineLevel="2">
      <c r="E4509" s="20"/>
      <c r="F4509" s="21"/>
      <c r="G4509" s="34"/>
      <c r="H4509" s="30"/>
      <c r="I4509" s="35"/>
      <c r="J4509" s="25"/>
      <c r="K4509" s="33">
        <v>3.81</v>
      </c>
      <c r="L4509" s="41">
        <v>1.26</v>
      </c>
      <c r="M4509" s="33"/>
      <c r="N4509" s="33">
        <v>1</v>
      </c>
      <c r="O4509" s="31">
        <f>ROUND(PRODUCT(J4509:N4509),2)</f>
        <v>4.8</v>
      </c>
      <c r="P4509" s="185"/>
      <c r="Q4509" s="185"/>
    </row>
    <row r="4510" spans="1:17" hidden="1" outlineLevel="2">
      <c r="E4510" s="20"/>
      <c r="F4510" s="21"/>
      <c r="G4510" s="34"/>
      <c r="H4510" s="30"/>
      <c r="I4510" s="35"/>
      <c r="J4510" s="25"/>
      <c r="K4510" s="33">
        <v>5.04</v>
      </c>
      <c r="L4510" s="41">
        <v>0.66</v>
      </c>
      <c r="M4510" s="33"/>
      <c r="N4510" s="33">
        <v>2</v>
      </c>
      <c r="O4510" s="31">
        <f>ROUND(PRODUCT(J4510:N4510),2)</f>
        <v>6.65</v>
      </c>
      <c r="P4510" s="185"/>
      <c r="Q4510" s="185"/>
    </row>
    <row r="4511" spans="1:17" hidden="1" outlineLevel="2">
      <c r="E4511" s="20"/>
      <c r="F4511" s="21"/>
      <c r="G4511" s="34"/>
      <c r="H4511" s="30"/>
      <c r="I4511" s="35"/>
      <c r="J4511" s="25"/>
      <c r="K4511" s="33">
        <v>2.5499999999999998</v>
      </c>
      <c r="L4511" s="41">
        <v>0.66</v>
      </c>
      <c r="M4511" s="33"/>
      <c r="N4511" s="33">
        <v>3</v>
      </c>
      <c r="O4511" s="31">
        <f>ROUND(PRODUCT(J4511:N4511),2)</f>
        <v>5.05</v>
      </c>
      <c r="P4511" s="185"/>
      <c r="Q4511" s="185"/>
    </row>
    <row r="4512" spans="1:17" collapsed="1">
      <c r="A4512" s="2">
        <v>10</v>
      </c>
      <c r="B4512" s="2">
        <v>10</v>
      </c>
      <c r="E4512" s="42" t="str">
        <f>CONCATENATE(A4512,".",B4512)</f>
        <v>10.10</v>
      </c>
      <c r="F4512" s="108" t="s">
        <v>5020</v>
      </c>
      <c r="G4512" s="98"/>
      <c r="H4512" s="99" t="s">
        <v>468</v>
      </c>
      <c r="I4512" s="15"/>
      <c r="J4512" s="16"/>
      <c r="K4512" s="17"/>
      <c r="L4512" s="16"/>
      <c r="M4512" s="17"/>
      <c r="N4512" s="18"/>
      <c r="O4512" s="61"/>
      <c r="P4512" s="185"/>
      <c r="Q4512" s="185"/>
    </row>
    <row r="4513" spans="1:16" ht="30" hidden="1" outlineLevel="1">
      <c r="A4513" s="2">
        <v>10</v>
      </c>
      <c r="B4513" s="2">
        <v>10</v>
      </c>
      <c r="C4513" s="2">
        <f>1</f>
        <v>1</v>
      </c>
      <c r="E4513" s="20" t="str">
        <f>CONCATENATE(A4513,".",B4513,".",C4513)</f>
        <v>10.10.1</v>
      </c>
      <c r="F4513" s="21" t="s">
        <v>5021</v>
      </c>
      <c r="G4513" s="22">
        <v>104402</v>
      </c>
      <c r="H4513" s="23" t="s">
        <v>5022</v>
      </c>
      <c r="I4513" s="24" t="s">
        <v>36</v>
      </c>
      <c r="J4513" s="32"/>
      <c r="K4513" s="10"/>
      <c r="L4513" s="32"/>
      <c r="M4513" s="10"/>
      <c r="N4513" s="33"/>
      <c r="O4513" s="11">
        <f>SUM(O4514)</f>
        <v>20</v>
      </c>
      <c r="P4513" s="185"/>
    </row>
    <row r="4514" spans="1:16" hidden="1" outlineLevel="2">
      <c r="E4514" s="59"/>
      <c r="F4514" s="60"/>
      <c r="G4514" s="34"/>
      <c r="H4514" s="30"/>
      <c r="I4514" s="35"/>
      <c r="J4514" s="41"/>
      <c r="K4514" s="10"/>
      <c r="L4514" s="32"/>
      <c r="M4514" s="10"/>
      <c r="N4514" s="33">
        <v>20</v>
      </c>
      <c r="O4514" s="31">
        <f>ROUND(PRODUCT(J4514:N4514),2)</f>
        <v>20</v>
      </c>
      <c r="P4514" s="185"/>
    </row>
    <row r="4515" spans="1:16" ht="30" hidden="1" outlineLevel="1">
      <c r="A4515" s="2">
        <v>10</v>
      </c>
      <c r="B4515" s="2">
        <v>10</v>
      </c>
      <c r="C4515" s="2">
        <f>C4513+1</f>
        <v>2</v>
      </c>
      <c r="E4515" s="20" t="str">
        <f>CONCATENATE(A4515,".",B4515,".",C4515)</f>
        <v>10.10.2</v>
      </c>
      <c r="F4515" s="21" t="s">
        <v>5023</v>
      </c>
      <c r="G4515" s="22">
        <v>95817</v>
      </c>
      <c r="H4515" s="23" t="s">
        <v>5024</v>
      </c>
      <c r="I4515" s="24" t="s">
        <v>36</v>
      </c>
      <c r="J4515" s="32"/>
      <c r="K4515" s="10"/>
      <c r="L4515" s="32"/>
      <c r="M4515" s="10"/>
      <c r="N4515" s="33"/>
      <c r="O4515" s="11">
        <f>SUM(O4516)</f>
        <v>6</v>
      </c>
      <c r="P4515" s="185"/>
    </row>
    <row r="4516" spans="1:16" hidden="1" outlineLevel="2">
      <c r="E4516" s="59"/>
      <c r="F4516" s="60"/>
      <c r="G4516" s="34"/>
      <c r="H4516" s="30"/>
      <c r="I4516" s="35"/>
      <c r="J4516" s="41"/>
      <c r="K4516" s="10"/>
      <c r="L4516" s="32"/>
      <c r="M4516" s="10"/>
      <c r="N4516" s="33">
        <v>6</v>
      </c>
      <c r="O4516" s="31">
        <f>ROUND(PRODUCT(J4516:N4516),2)</f>
        <v>6</v>
      </c>
      <c r="P4516" s="185"/>
    </row>
    <row r="4517" spans="1:16" ht="30" hidden="1" outlineLevel="1">
      <c r="A4517" s="2">
        <v>10</v>
      </c>
      <c r="B4517" s="2">
        <v>10</v>
      </c>
      <c r="C4517" s="2">
        <f>C4515+1</f>
        <v>3</v>
      </c>
      <c r="E4517" s="20" t="str">
        <f>CONCATENATE(A4517,".",B4517,".",C4517)</f>
        <v>10.10.3</v>
      </c>
      <c r="F4517" s="21" t="s">
        <v>5025</v>
      </c>
      <c r="G4517" s="22">
        <v>91877</v>
      </c>
      <c r="H4517" s="23" t="s">
        <v>552</v>
      </c>
      <c r="I4517" s="24" t="s">
        <v>36</v>
      </c>
      <c r="J4517" s="32"/>
      <c r="K4517" s="10"/>
      <c r="L4517" s="32"/>
      <c r="M4517" s="10"/>
      <c r="N4517" s="33"/>
      <c r="O4517" s="11">
        <f>SUM(O4518)</f>
        <v>2</v>
      </c>
      <c r="P4517" s="185"/>
    </row>
    <row r="4518" spans="1:16" hidden="1" outlineLevel="2">
      <c r="E4518" s="59"/>
      <c r="F4518" s="60"/>
      <c r="G4518" s="34"/>
      <c r="H4518" s="30"/>
      <c r="I4518" s="35"/>
      <c r="J4518" s="41"/>
      <c r="K4518" s="10"/>
      <c r="L4518" s="32"/>
      <c r="M4518" s="10"/>
      <c r="N4518" s="33">
        <v>2</v>
      </c>
      <c r="O4518" s="31">
        <f>ROUND(PRODUCT(J4518:N4518),2)</f>
        <v>2</v>
      </c>
      <c r="P4518" s="185"/>
    </row>
    <row r="4519" spans="1:16" ht="30" hidden="1" outlineLevel="1">
      <c r="A4519" s="2">
        <v>10</v>
      </c>
      <c r="B4519" s="2">
        <v>10</v>
      </c>
      <c r="C4519" s="2">
        <f>C4517+1</f>
        <v>4</v>
      </c>
      <c r="E4519" s="20" t="str">
        <f>CONCATENATE(A4519,".",B4519,".",C4519)</f>
        <v>10.10.4</v>
      </c>
      <c r="F4519" s="21" t="s">
        <v>5026</v>
      </c>
      <c r="G4519" s="22">
        <v>91875</v>
      </c>
      <c r="H4519" s="23" t="s">
        <v>555</v>
      </c>
      <c r="I4519" s="24" t="s">
        <v>36</v>
      </c>
      <c r="J4519" s="32"/>
      <c r="K4519" s="10"/>
      <c r="L4519" s="32"/>
      <c r="M4519" s="10"/>
      <c r="N4519" s="33"/>
      <c r="O4519" s="11">
        <f>SUM(O4520)</f>
        <v>103</v>
      </c>
      <c r="P4519" s="185"/>
    </row>
    <row r="4520" spans="1:16" hidden="1" outlineLevel="2">
      <c r="E4520" s="59"/>
      <c r="F4520" s="60"/>
      <c r="G4520" s="34"/>
      <c r="H4520" s="30"/>
      <c r="I4520" s="35"/>
      <c r="J4520" s="41"/>
      <c r="K4520" s="10"/>
      <c r="L4520" s="32"/>
      <c r="M4520" s="10"/>
      <c r="N4520" s="33">
        <v>103</v>
      </c>
      <c r="O4520" s="31">
        <f>ROUND(PRODUCT(J4520:N4520),2)</f>
        <v>103</v>
      </c>
      <c r="P4520" s="185"/>
    </row>
    <row r="4521" spans="1:16" ht="30" hidden="1" outlineLevel="1">
      <c r="A4521" s="2">
        <v>10</v>
      </c>
      <c r="B4521" s="2">
        <v>10</v>
      </c>
      <c r="C4521" s="2">
        <f>C4519+1</f>
        <v>5</v>
      </c>
      <c r="E4521" s="20" t="str">
        <f>CONCATENATE(A4521,".",B4521,".",C4521)</f>
        <v>10.10.5</v>
      </c>
      <c r="F4521" s="21" t="s">
        <v>5027</v>
      </c>
      <c r="G4521" s="22">
        <v>91926</v>
      </c>
      <c r="H4521" s="23" t="s">
        <v>519</v>
      </c>
      <c r="I4521" s="24" t="s">
        <v>144</v>
      </c>
      <c r="J4521" s="32"/>
      <c r="K4521" s="10"/>
      <c r="L4521" s="32"/>
      <c r="M4521" s="10"/>
      <c r="N4521" s="33"/>
      <c r="O4521" s="11">
        <f>SUM(O4522)</f>
        <v>1072.5</v>
      </c>
      <c r="P4521" s="185"/>
    </row>
    <row r="4522" spans="1:16" hidden="1" outlineLevel="2">
      <c r="E4522" s="59"/>
      <c r="F4522" s="60"/>
      <c r="G4522" s="34"/>
      <c r="H4522" s="30"/>
      <c r="I4522" s="35"/>
      <c r="J4522" s="41"/>
      <c r="K4522" s="10"/>
      <c r="L4522" s="32"/>
      <c r="M4522" s="10"/>
      <c r="N4522" s="33">
        <f>667+405.5</f>
        <v>1072.5</v>
      </c>
      <c r="O4522" s="31">
        <f>ROUND(PRODUCT(J4522:N4522),2)</f>
        <v>1072.5</v>
      </c>
      <c r="P4522" s="185"/>
    </row>
    <row r="4523" spans="1:16" ht="30" hidden="1" outlineLevel="1">
      <c r="A4523" s="2">
        <v>10</v>
      </c>
      <c r="B4523" s="2">
        <v>10</v>
      </c>
      <c r="C4523" s="2">
        <f>C4521+1</f>
        <v>6</v>
      </c>
      <c r="E4523" s="20" t="str">
        <f>CONCATENATE(A4523,".",B4523,".",C4523)</f>
        <v>10.10.6</v>
      </c>
      <c r="F4523" s="21" t="s">
        <v>5028</v>
      </c>
      <c r="G4523" s="22">
        <v>91928</v>
      </c>
      <c r="H4523" s="23" t="s">
        <v>2397</v>
      </c>
      <c r="I4523" s="24" t="s">
        <v>144</v>
      </c>
      <c r="J4523" s="32"/>
      <c r="K4523" s="10"/>
      <c r="L4523" s="32"/>
      <c r="M4523" s="10"/>
      <c r="N4523" s="33"/>
      <c r="O4523" s="11">
        <f>SUM(O4524)</f>
        <v>66</v>
      </c>
      <c r="P4523" s="185"/>
    </row>
    <row r="4524" spans="1:16" hidden="1" outlineLevel="2">
      <c r="E4524" s="59"/>
      <c r="F4524" s="60"/>
      <c r="G4524" s="34"/>
      <c r="H4524" s="30"/>
      <c r="I4524" s="35"/>
      <c r="J4524" s="41"/>
      <c r="K4524" s="10"/>
      <c r="L4524" s="32"/>
      <c r="M4524" s="10"/>
      <c r="N4524" s="33">
        <v>66</v>
      </c>
      <c r="O4524" s="31">
        <f>ROUND(PRODUCT(J4524:N4524),2)</f>
        <v>66</v>
      </c>
      <c r="P4524" s="185"/>
    </row>
    <row r="4525" spans="1:16" ht="30" hidden="1" outlineLevel="1">
      <c r="A4525" s="2">
        <v>10</v>
      </c>
      <c r="B4525" s="2">
        <v>10</v>
      </c>
      <c r="C4525" s="2">
        <f>C4523+1</f>
        <v>7</v>
      </c>
      <c r="E4525" s="20" t="str">
        <f>CONCATENATE(A4525,".",B4525,".",C4525)</f>
        <v>10.10.7</v>
      </c>
      <c r="F4525" s="21" t="s">
        <v>5029</v>
      </c>
      <c r="G4525" s="22">
        <v>91930</v>
      </c>
      <c r="H4525" s="23" t="s">
        <v>2400</v>
      </c>
      <c r="I4525" s="24" t="s">
        <v>144</v>
      </c>
      <c r="J4525" s="32"/>
      <c r="K4525" s="10"/>
      <c r="L4525" s="32"/>
      <c r="M4525" s="10"/>
      <c r="N4525" s="33"/>
      <c r="O4525" s="11">
        <f>SUM(O4526)</f>
        <v>286.75</v>
      </c>
      <c r="P4525" s="185"/>
    </row>
    <row r="4526" spans="1:16" hidden="1" outlineLevel="2">
      <c r="E4526" s="59"/>
      <c r="F4526" s="60"/>
      <c r="G4526" s="34"/>
      <c r="H4526" s="30"/>
      <c r="I4526" s="35"/>
      <c r="J4526" s="41"/>
      <c r="K4526" s="10"/>
      <c r="L4526" s="32"/>
      <c r="M4526" s="10"/>
      <c r="N4526" s="33">
        <v>286.75</v>
      </c>
      <c r="O4526" s="31">
        <f>ROUND(PRODUCT(J4526:N4526),2)</f>
        <v>286.75</v>
      </c>
      <c r="P4526" s="185"/>
    </row>
    <row r="4527" spans="1:16" ht="30" hidden="1" outlineLevel="1">
      <c r="A4527" s="2">
        <v>10</v>
      </c>
      <c r="B4527" s="2">
        <v>10</v>
      </c>
      <c r="C4527" s="2">
        <f>C4525+1</f>
        <v>8</v>
      </c>
      <c r="E4527" s="20" t="str">
        <f>CONCATENATE(A4527,".",B4527,".",C4527)</f>
        <v>10.10.8</v>
      </c>
      <c r="F4527" s="21" t="s">
        <v>5030</v>
      </c>
      <c r="G4527" s="22">
        <v>91934</v>
      </c>
      <c r="H4527" s="23" t="s">
        <v>525</v>
      </c>
      <c r="I4527" s="24" t="s">
        <v>144</v>
      </c>
      <c r="J4527" s="32"/>
      <c r="K4527" s="10"/>
      <c r="L4527" s="32"/>
      <c r="M4527" s="10"/>
      <c r="N4527" s="33"/>
      <c r="O4527" s="11">
        <f>SUM(O4528)</f>
        <v>231.5</v>
      </c>
      <c r="P4527" s="185"/>
    </row>
    <row r="4528" spans="1:16" hidden="1" outlineLevel="2">
      <c r="E4528" s="59"/>
      <c r="F4528" s="60"/>
      <c r="G4528" s="34"/>
      <c r="H4528" s="30"/>
      <c r="I4528" s="35"/>
      <c r="J4528" s="41"/>
      <c r="K4528" s="10"/>
      <c r="L4528" s="32"/>
      <c r="M4528" s="10"/>
      <c r="N4528" s="33">
        <v>231.5</v>
      </c>
      <c r="O4528" s="31">
        <f>ROUND(PRODUCT(J4528:N4528),2)</f>
        <v>231.5</v>
      </c>
      <c r="P4528" s="185"/>
    </row>
    <row r="4529" spans="1:16" ht="30" hidden="1" outlineLevel="1">
      <c r="A4529" s="2">
        <v>10</v>
      </c>
      <c r="B4529" s="2">
        <v>10</v>
      </c>
      <c r="C4529" s="2">
        <f>C4527+1</f>
        <v>9</v>
      </c>
      <c r="E4529" s="20" t="str">
        <f>CONCATENATE(A4529,".",B4529,".",C4529)</f>
        <v>10.10.9</v>
      </c>
      <c r="F4529" s="21" t="s">
        <v>5031</v>
      </c>
      <c r="G4529" s="22">
        <v>91863</v>
      </c>
      <c r="H4529" s="23" t="s">
        <v>2426</v>
      </c>
      <c r="I4529" s="24" t="s">
        <v>144</v>
      </c>
      <c r="J4529" s="32"/>
      <c r="K4529" s="10"/>
      <c r="L4529" s="32"/>
      <c r="M4529" s="10"/>
      <c r="N4529" s="33"/>
      <c r="O4529" s="11">
        <f>SUM(O4530)</f>
        <v>131</v>
      </c>
      <c r="P4529" s="185"/>
    </row>
    <row r="4530" spans="1:16" hidden="1" outlineLevel="2">
      <c r="E4530" s="59"/>
      <c r="F4530" s="60"/>
      <c r="G4530" s="34"/>
      <c r="H4530" s="30"/>
      <c r="I4530" s="35"/>
      <c r="J4530" s="41"/>
      <c r="K4530" s="10"/>
      <c r="L4530" s="32"/>
      <c r="M4530" s="10"/>
      <c r="N4530" s="33">
        <v>131</v>
      </c>
      <c r="O4530" s="31">
        <f>ROUND(PRODUCT(J4530:N4530),2)</f>
        <v>131</v>
      </c>
      <c r="P4530" s="185"/>
    </row>
    <row r="4531" spans="1:16" ht="30" hidden="1" outlineLevel="1">
      <c r="A4531" s="2">
        <v>10</v>
      </c>
      <c r="B4531" s="2">
        <v>10</v>
      </c>
      <c r="C4531" s="2">
        <f>C4529+1</f>
        <v>10</v>
      </c>
      <c r="E4531" s="20" t="str">
        <f>CONCATENATE(A4531,".",B4531,".",C4531)</f>
        <v>10.10.10</v>
      </c>
      <c r="F4531" s="21" t="s">
        <v>5032</v>
      </c>
      <c r="G4531" s="22">
        <v>93011</v>
      </c>
      <c r="H4531" s="23" t="s">
        <v>3788</v>
      </c>
      <c r="I4531" s="24" t="s">
        <v>144</v>
      </c>
      <c r="J4531" s="32"/>
      <c r="K4531" s="10"/>
      <c r="L4531" s="32"/>
      <c r="M4531" s="10"/>
      <c r="N4531" s="33"/>
      <c r="O4531" s="11">
        <f>SUM(O4532)</f>
        <v>50</v>
      </c>
      <c r="P4531" s="185"/>
    </row>
    <row r="4532" spans="1:16" hidden="1" outlineLevel="2">
      <c r="E4532" s="59"/>
      <c r="F4532" s="60"/>
      <c r="G4532" s="34"/>
      <c r="H4532" s="30"/>
      <c r="I4532" s="35"/>
      <c r="J4532" s="41"/>
      <c r="K4532" s="10"/>
      <c r="L4532" s="32"/>
      <c r="M4532" s="10"/>
      <c r="N4532" s="33">
        <v>50</v>
      </c>
      <c r="O4532" s="31">
        <f>ROUND(PRODUCT(J4532:N4532),2)</f>
        <v>50</v>
      </c>
      <c r="P4532" s="185"/>
    </row>
    <row r="4533" spans="1:16" ht="45" hidden="1" outlineLevel="1">
      <c r="A4533" s="2">
        <v>10</v>
      </c>
      <c r="B4533" s="2">
        <v>10</v>
      </c>
      <c r="C4533" s="2">
        <f>C4531+1</f>
        <v>11</v>
      </c>
      <c r="E4533" s="20" t="str">
        <f>CONCATENATE(A4533,".",B4533,".",C4533)</f>
        <v>10.10.11</v>
      </c>
      <c r="F4533" s="21" t="s">
        <v>5033</v>
      </c>
      <c r="G4533" s="22">
        <v>91855</v>
      </c>
      <c r="H4533" s="23" t="s">
        <v>3776</v>
      </c>
      <c r="I4533" s="24" t="s">
        <v>144</v>
      </c>
      <c r="J4533" s="32"/>
      <c r="K4533" s="10"/>
      <c r="L4533" s="32"/>
      <c r="M4533" s="10"/>
      <c r="N4533" s="33"/>
      <c r="O4533" s="11">
        <f>SUM(O4534)</f>
        <v>235</v>
      </c>
      <c r="P4533" s="185"/>
    </row>
    <row r="4534" spans="1:16" hidden="1" outlineLevel="2">
      <c r="E4534" s="59"/>
      <c r="F4534" s="60"/>
      <c r="G4534" s="34"/>
      <c r="H4534" s="30"/>
      <c r="I4534" s="35"/>
      <c r="J4534" s="41"/>
      <c r="K4534" s="10"/>
      <c r="L4534" s="32"/>
      <c r="M4534" s="10"/>
      <c r="N4534" s="33">
        <v>235</v>
      </c>
      <c r="O4534" s="31">
        <f>ROUND(PRODUCT(J4534:N4534),2)</f>
        <v>235</v>
      </c>
      <c r="P4534" s="185"/>
    </row>
    <row r="4535" spans="1:16" ht="45" hidden="1" outlineLevel="1">
      <c r="A4535" s="2">
        <v>10</v>
      </c>
      <c r="B4535" s="2">
        <v>10</v>
      </c>
      <c r="C4535" s="2">
        <f>C4533+1</f>
        <v>12</v>
      </c>
      <c r="E4535" s="20" t="str">
        <f>CONCATENATE(A4535,".",B4535,".",C4535)</f>
        <v>10.10.12</v>
      </c>
      <c r="F4535" s="21" t="s">
        <v>5034</v>
      </c>
      <c r="G4535" s="22">
        <v>91176</v>
      </c>
      <c r="H4535" s="23" t="s">
        <v>3973</v>
      </c>
      <c r="I4535" s="24" t="s">
        <v>144</v>
      </c>
      <c r="J4535" s="32"/>
      <c r="K4535" s="10"/>
      <c r="L4535" s="32"/>
      <c r="M4535" s="10"/>
      <c r="N4535" s="33"/>
      <c r="O4535" s="11">
        <f>SUM(O4536)</f>
        <v>48</v>
      </c>
      <c r="P4535" s="185"/>
    </row>
    <row r="4536" spans="1:16" hidden="1" outlineLevel="2">
      <c r="E4536" s="59"/>
      <c r="F4536" s="60"/>
      <c r="G4536" s="34"/>
      <c r="H4536" s="30"/>
      <c r="I4536" s="35"/>
      <c r="J4536" s="41"/>
      <c r="K4536" s="10"/>
      <c r="L4536" s="32"/>
      <c r="M4536" s="10"/>
      <c r="N4536" s="33">
        <f>35+13</f>
        <v>48</v>
      </c>
      <c r="O4536" s="31">
        <f>ROUND(PRODUCT(J4536:N4536),2)</f>
        <v>48</v>
      </c>
      <c r="P4536" s="185"/>
    </row>
    <row r="4537" spans="1:16" ht="60" hidden="1" outlineLevel="1">
      <c r="A4537" s="2">
        <v>10</v>
      </c>
      <c r="B4537" s="2">
        <v>10</v>
      </c>
      <c r="C4537" s="2">
        <f>C4535+1</f>
        <v>13</v>
      </c>
      <c r="E4537" s="20" t="str">
        <f>CONCATENATE(A4537,".",B4537,".",C4537)</f>
        <v>10.10.13</v>
      </c>
      <c r="F4537" s="21" t="s">
        <v>5035</v>
      </c>
      <c r="G4537" s="22">
        <v>91172</v>
      </c>
      <c r="H4537" s="23" t="s">
        <v>5036</v>
      </c>
      <c r="I4537" s="24" t="s">
        <v>144</v>
      </c>
      <c r="J4537" s="32"/>
      <c r="K4537" s="10"/>
      <c r="L4537" s="32"/>
      <c r="M4537" s="10"/>
      <c r="N4537" s="33"/>
      <c r="O4537" s="11">
        <f>SUM(O4538)</f>
        <v>60</v>
      </c>
      <c r="P4537" s="185"/>
    </row>
    <row r="4538" spans="1:16" hidden="1" outlineLevel="2">
      <c r="E4538" s="59"/>
      <c r="F4538" s="60"/>
      <c r="G4538" s="34"/>
      <c r="H4538" s="30"/>
      <c r="I4538" s="35"/>
      <c r="J4538" s="41"/>
      <c r="K4538" s="10"/>
      <c r="L4538" s="32"/>
      <c r="M4538" s="10"/>
      <c r="N4538" s="33">
        <v>60</v>
      </c>
      <c r="O4538" s="31">
        <f>ROUND(PRODUCT(J4538:N4538),2)</f>
        <v>60</v>
      </c>
      <c r="P4538" s="185"/>
    </row>
    <row r="4539" spans="1:16" ht="45" hidden="1" outlineLevel="1">
      <c r="A4539" s="2">
        <v>10</v>
      </c>
      <c r="B4539" s="2">
        <v>10</v>
      </c>
      <c r="C4539" s="2">
        <f>C4537+1</f>
        <v>14</v>
      </c>
      <c r="E4539" s="20" t="str">
        <f>CONCATENATE(A4539,".",B4539,".",C4539)</f>
        <v>10.10.14</v>
      </c>
      <c r="F4539" s="21" t="s">
        <v>5037</v>
      </c>
      <c r="G4539" s="22">
        <v>91896</v>
      </c>
      <c r="H4539" s="23" t="s">
        <v>5038</v>
      </c>
      <c r="I4539" s="24" t="s">
        <v>36</v>
      </c>
      <c r="J4539" s="32"/>
      <c r="K4539" s="10"/>
      <c r="L4539" s="32"/>
      <c r="M4539" s="10"/>
      <c r="N4539" s="33"/>
      <c r="O4539" s="11">
        <f>SUM(O4540)</f>
        <v>1</v>
      </c>
      <c r="P4539" s="185"/>
    </row>
    <row r="4540" spans="1:16" hidden="1" outlineLevel="2">
      <c r="E4540" s="59"/>
      <c r="F4540" s="60"/>
      <c r="G4540" s="34"/>
      <c r="H4540" s="30"/>
      <c r="I4540" s="35"/>
      <c r="J4540" s="41"/>
      <c r="K4540" s="10"/>
      <c r="L4540" s="32"/>
      <c r="M4540" s="10"/>
      <c r="N4540" s="33">
        <v>1</v>
      </c>
      <c r="O4540" s="31">
        <f>ROUND(PRODUCT(J4540:N4540),2)</f>
        <v>1</v>
      </c>
      <c r="P4540" s="185"/>
    </row>
    <row r="4541" spans="1:16" ht="30" hidden="1" outlineLevel="1">
      <c r="A4541" s="2">
        <v>10</v>
      </c>
      <c r="B4541" s="2">
        <v>10</v>
      </c>
      <c r="C4541" s="2">
        <f>C4539+1</f>
        <v>15</v>
      </c>
      <c r="E4541" s="20" t="str">
        <f>CONCATENATE(A4541,".",B4541,".",C4541)</f>
        <v>10.10.15</v>
      </c>
      <c r="F4541" s="21" t="s">
        <v>5039</v>
      </c>
      <c r="G4541" s="22">
        <v>91953</v>
      </c>
      <c r="H4541" s="23" t="s">
        <v>558</v>
      </c>
      <c r="I4541" s="24" t="s">
        <v>36</v>
      </c>
      <c r="J4541" s="32"/>
      <c r="K4541" s="10"/>
      <c r="L4541" s="32"/>
      <c r="M4541" s="10"/>
      <c r="N4541" s="33"/>
      <c r="O4541" s="11">
        <f>SUM(O4542)</f>
        <v>6</v>
      </c>
      <c r="P4541" s="185"/>
    </row>
    <row r="4542" spans="1:16" hidden="1" outlineLevel="2">
      <c r="E4542" s="59"/>
      <c r="F4542" s="60"/>
      <c r="G4542" s="34"/>
      <c r="H4542" s="30"/>
      <c r="I4542" s="35"/>
      <c r="J4542" s="41"/>
      <c r="K4542" s="10"/>
      <c r="L4542" s="32"/>
      <c r="M4542" s="10"/>
      <c r="N4542" s="33">
        <v>6</v>
      </c>
      <c r="O4542" s="31">
        <f>ROUND(PRODUCT(J4542:N4542),2)</f>
        <v>6</v>
      </c>
      <c r="P4542" s="185"/>
    </row>
    <row r="4543" spans="1:16" ht="30" hidden="1" outlineLevel="1">
      <c r="A4543" s="2">
        <v>10</v>
      </c>
      <c r="B4543" s="2">
        <v>10</v>
      </c>
      <c r="C4543" s="2">
        <f>C4541+1</f>
        <v>16</v>
      </c>
      <c r="E4543" s="20" t="str">
        <f>CONCATENATE(A4543,".",B4543,".",C4543)</f>
        <v>10.10.16</v>
      </c>
      <c r="F4543" s="21" t="s">
        <v>5040</v>
      </c>
      <c r="G4543" s="22">
        <v>92000</v>
      </c>
      <c r="H4543" s="23" t="s">
        <v>591</v>
      </c>
      <c r="I4543" s="24" t="s">
        <v>36</v>
      </c>
      <c r="J4543" s="32"/>
      <c r="K4543" s="10"/>
      <c r="L4543" s="32"/>
      <c r="M4543" s="10"/>
      <c r="N4543" s="33"/>
      <c r="O4543" s="11">
        <f>SUM(O4544)</f>
        <v>7</v>
      </c>
      <c r="P4543" s="185"/>
    </row>
    <row r="4544" spans="1:16" hidden="1" outlineLevel="2">
      <c r="E4544" s="59"/>
      <c r="F4544" s="60"/>
      <c r="G4544" s="34"/>
      <c r="H4544" s="30"/>
      <c r="I4544" s="35"/>
      <c r="J4544" s="41"/>
      <c r="K4544" s="10"/>
      <c r="L4544" s="32"/>
      <c r="M4544" s="10"/>
      <c r="N4544" s="33">
        <v>7</v>
      </c>
      <c r="O4544" s="31">
        <f>ROUND(PRODUCT(J4544:N4544),2)</f>
        <v>7</v>
      </c>
      <c r="P4544" s="185"/>
    </row>
    <row r="4545" spans="1:16" ht="30" hidden="1" outlineLevel="1">
      <c r="A4545" s="2">
        <v>10</v>
      </c>
      <c r="B4545" s="2">
        <v>10</v>
      </c>
      <c r="C4545" s="2">
        <f>C4543+1</f>
        <v>17</v>
      </c>
      <c r="E4545" s="20" t="str">
        <f>CONCATENATE(A4545,".",B4545,".",C4545)</f>
        <v>10.10.17</v>
      </c>
      <c r="F4545" s="21" t="s">
        <v>5041</v>
      </c>
      <c r="G4545" s="22">
        <v>93669</v>
      </c>
      <c r="H4545" s="23" t="s">
        <v>483</v>
      </c>
      <c r="I4545" s="24" t="s">
        <v>36</v>
      </c>
      <c r="J4545" s="32"/>
      <c r="K4545" s="10"/>
      <c r="L4545" s="32"/>
      <c r="M4545" s="10"/>
      <c r="N4545" s="33"/>
      <c r="O4545" s="11">
        <f>SUM(O4546)</f>
        <v>1</v>
      </c>
      <c r="P4545" s="185"/>
    </row>
    <row r="4546" spans="1:16" hidden="1" outlineLevel="2">
      <c r="E4546" s="59"/>
      <c r="F4546" s="60"/>
      <c r="G4546" s="34"/>
      <c r="H4546" s="30"/>
      <c r="I4546" s="35"/>
      <c r="J4546" s="41"/>
      <c r="K4546" s="10"/>
      <c r="L4546" s="32"/>
      <c r="M4546" s="10"/>
      <c r="N4546" s="33">
        <v>1</v>
      </c>
      <c r="O4546" s="31">
        <f>ROUND(PRODUCT(J4546:N4546),2)</f>
        <v>1</v>
      </c>
      <c r="P4546" s="185"/>
    </row>
    <row r="4547" spans="1:16" ht="30" hidden="1" outlineLevel="1">
      <c r="A4547" s="2">
        <v>10</v>
      </c>
      <c r="B4547" s="2">
        <v>10</v>
      </c>
      <c r="C4547" s="2">
        <f>C4545+1</f>
        <v>18</v>
      </c>
      <c r="E4547" s="20" t="str">
        <f>CONCATENATE(A4547,".",B4547,".",C4547)</f>
        <v>10.10.18</v>
      </c>
      <c r="F4547" s="21" t="s">
        <v>5042</v>
      </c>
      <c r="G4547" s="22">
        <v>93673</v>
      </c>
      <c r="H4547" s="23" t="s">
        <v>474</v>
      </c>
      <c r="I4547" s="24" t="s">
        <v>36</v>
      </c>
      <c r="J4547" s="32"/>
      <c r="K4547" s="10"/>
      <c r="L4547" s="32"/>
      <c r="M4547" s="10"/>
      <c r="N4547" s="33"/>
      <c r="O4547" s="11">
        <f>SUM(O4548)</f>
        <v>1</v>
      </c>
      <c r="P4547" s="185"/>
    </row>
    <row r="4548" spans="1:16" hidden="1" outlineLevel="2">
      <c r="E4548" s="59"/>
      <c r="F4548" s="60"/>
      <c r="G4548" s="34"/>
      <c r="H4548" s="30"/>
      <c r="I4548" s="35"/>
      <c r="J4548" s="41"/>
      <c r="K4548" s="10"/>
      <c r="L4548" s="32"/>
      <c r="M4548" s="10"/>
      <c r="N4548" s="33">
        <v>1</v>
      </c>
      <c r="O4548" s="31">
        <f>ROUND(PRODUCT(J4548:N4548),2)</f>
        <v>1</v>
      </c>
      <c r="P4548" s="185"/>
    </row>
    <row r="4549" spans="1:16" ht="30" hidden="1" outlineLevel="1">
      <c r="A4549" s="2">
        <v>10</v>
      </c>
      <c r="B4549" s="2">
        <v>10</v>
      </c>
      <c r="C4549" s="2">
        <f>C4547+1</f>
        <v>19</v>
      </c>
      <c r="E4549" s="20" t="str">
        <f>CONCATENATE(A4549,".",B4549,".",C4549)</f>
        <v>10.10.19</v>
      </c>
      <c r="F4549" s="21" t="s">
        <v>5043</v>
      </c>
      <c r="G4549" s="22">
        <v>93653</v>
      </c>
      <c r="H4549" s="23" t="s">
        <v>513</v>
      </c>
      <c r="I4549" s="24" t="s">
        <v>36</v>
      </c>
      <c r="J4549" s="32"/>
      <c r="K4549" s="10"/>
      <c r="L4549" s="32"/>
      <c r="M4549" s="10"/>
      <c r="N4549" s="33"/>
      <c r="O4549" s="11">
        <f>SUM(O4550)</f>
        <v>13</v>
      </c>
      <c r="P4549" s="185"/>
    </row>
    <row r="4550" spans="1:16" hidden="1" outlineLevel="2">
      <c r="E4550" s="59"/>
      <c r="F4550" s="60"/>
      <c r="G4550" s="34"/>
      <c r="H4550" s="30"/>
      <c r="I4550" s="35"/>
      <c r="J4550" s="41"/>
      <c r="K4550" s="10"/>
      <c r="L4550" s="32"/>
      <c r="M4550" s="10"/>
      <c r="N4550" s="33">
        <v>13</v>
      </c>
      <c r="O4550" s="31">
        <f>ROUND(PRODUCT(J4550:N4550),2)</f>
        <v>13</v>
      </c>
      <c r="P4550" s="185"/>
    </row>
    <row r="4551" spans="1:16" ht="30" hidden="1" outlineLevel="1">
      <c r="A4551" s="2">
        <v>10</v>
      </c>
      <c r="B4551" s="2">
        <v>10</v>
      </c>
      <c r="C4551" s="2">
        <f>C4549+1</f>
        <v>20</v>
      </c>
      <c r="E4551" s="20" t="str">
        <f>CONCATENATE(A4551,".",B4551,".",C4551)</f>
        <v>10.10.20</v>
      </c>
      <c r="F4551" s="21" t="s">
        <v>5044</v>
      </c>
      <c r="G4551" s="22">
        <v>93655</v>
      </c>
      <c r="H4551" s="23" t="s">
        <v>507</v>
      </c>
      <c r="I4551" s="24" t="s">
        <v>36</v>
      </c>
      <c r="J4551" s="32"/>
      <c r="K4551" s="10"/>
      <c r="L4551" s="32"/>
      <c r="M4551" s="10"/>
      <c r="N4551" s="33"/>
      <c r="O4551" s="11">
        <f>SUM(O4552)</f>
        <v>1</v>
      </c>
      <c r="P4551" s="185"/>
    </row>
    <row r="4552" spans="1:16" hidden="1" outlineLevel="2">
      <c r="E4552" s="59"/>
      <c r="F4552" s="60"/>
      <c r="G4552" s="34"/>
      <c r="H4552" s="30"/>
      <c r="I4552" s="35"/>
      <c r="J4552" s="41"/>
      <c r="K4552" s="10"/>
      <c r="L4552" s="32"/>
      <c r="M4552" s="10"/>
      <c r="N4552" s="33">
        <v>1</v>
      </c>
      <c r="O4552" s="31">
        <f>ROUND(PRODUCT(J4552:N4552),2)</f>
        <v>1</v>
      </c>
      <c r="P4552" s="185"/>
    </row>
    <row r="4553" spans="1:16" ht="30" hidden="1" outlineLevel="1">
      <c r="A4553" s="2">
        <v>10</v>
      </c>
      <c r="B4553" s="2">
        <v>10</v>
      </c>
      <c r="C4553" s="2">
        <f>C4551+1</f>
        <v>21</v>
      </c>
      <c r="E4553" s="20" t="str">
        <f>CONCATENATE(A4553,".",B4553,".",C4553)</f>
        <v>10.10.21</v>
      </c>
      <c r="F4553" s="21" t="s">
        <v>5045</v>
      </c>
      <c r="G4553" s="22">
        <v>93657</v>
      </c>
      <c r="H4553" s="23" t="s">
        <v>4782</v>
      </c>
      <c r="I4553" s="24" t="s">
        <v>36</v>
      </c>
      <c r="J4553" s="32"/>
      <c r="K4553" s="10"/>
      <c r="L4553" s="32"/>
      <c r="M4553" s="10"/>
      <c r="N4553" s="33"/>
      <c r="O4553" s="11">
        <f>SUM(O4554)</f>
        <v>8</v>
      </c>
      <c r="P4553" s="185"/>
    </row>
    <row r="4554" spans="1:16" hidden="1" outlineLevel="2">
      <c r="E4554" s="59"/>
      <c r="F4554" s="60"/>
      <c r="G4554" s="34"/>
      <c r="H4554" s="30"/>
      <c r="I4554" s="35"/>
      <c r="J4554" s="41"/>
      <c r="K4554" s="10"/>
      <c r="L4554" s="32"/>
      <c r="M4554" s="10"/>
      <c r="N4554" s="33">
        <v>8</v>
      </c>
      <c r="O4554" s="31">
        <f>ROUND(PRODUCT(J4554:N4554),2)</f>
        <v>8</v>
      </c>
      <c r="P4554" s="185"/>
    </row>
    <row r="4555" spans="1:16" ht="45" hidden="1" outlineLevel="1">
      <c r="A4555" s="2">
        <v>10</v>
      </c>
      <c r="B4555" s="2">
        <v>10</v>
      </c>
      <c r="C4555" s="2">
        <f>C4553+1</f>
        <v>22</v>
      </c>
      <c r="E4555" s="20" t="str">
        <f>CONCATENATE(A4555,".",B4555,".",C4555)</f>
        <v>10.10.22</v>
      </c>
      <c r="F4555" s="21" t="s">
        <v>5046</v>
      </c>
      <c r="G4555" s="22">
        <v>101883</v>
      </c>
      <c r="H4555" s="23" t="s">
        <v>694</v>
      </c>
      <c r="I4555" s="24" t="s">
        <v>36</v>
      </c>
      <c r="J4555" s="32"/>
      <c r="K4555" s="10"/>
      <c r="L4555" s="32"/>
      <c r="M4555" s="10"/>
      <c r="N4555" s="33"/>
      <c r="O4555" s="11">
        <f>SUM(O4556)</f>
        <v>1</v>
      </c>
      <c r="P4555" s="185"/>
    </row>
    <row r="4556" spans="1:16" hidden="1" outlineLevel="2">
      <c r="E4556" s="59"/>
      <c r="F4556" s="60"/>
      <c r="G4556" s="34"/>
      <c r="H4556" s="30"/>
      <c r="I4556" s="35"/>
      <c r="J4556" s="41"/>
      <c r="K4556" s="10"/>
      <c r="L4556" s="32"/>
      <c r="M4556" s="10"/>
      <c r="N4556" s="33">
        <v>1</v>
      </c>
      <c r="O4556" s="31">
        <f>ROUND(PRODUCT(J4556:N4556),2)</f>
        <v>1</v>
      </c>
      <c r="P4556" s="185"/>
    </row>
    <row r="4557" spans="1:16" hidden="1" outlineLevel="1">
      <c r="A4557" s="2">
        <v>10</v>
      </c>
      <c r="B4557" s="2">
        <v>10</v>
      </c>
      <c r="C4557" s="2">
        <f>C4555+1</f>
        <v>23</v>
      </c>
      <c r="E4557" s="20" t="str">
        <f>CONCATENATE(A4557,".",B4557,".",C4557)</f>
        <v>10.10.23</v>
      </c>
      <c r="F4557" s="21" t="s">
        <v>5047</v>
      </c>
      <c r="G4557" s="22" t="s">
        <v>3993</v>
      </c>
      <c r="H4557" s="23" t="s">
        <v>3994</v>
      </c>
      <c r="I4557" s="24" t="s">
        <v>36</v>
      </c>
      <c r="J4557" s="32"/>
      <c r="K4557" s="10"/>
      <c r="L4557" s="32"/>
      <c r="M4557" s="10"/>
      <c r="N4557" s="33"/>
      <c r="O4557" s="11">
        <f>SUM(O4558)</f>
        <v>255</v>
      </c>
      <c r="P4557" s="185"/>
    </row>
    <row r="4558" spans="1:16" hidden="1" outlineLevel="2">
      <c r="E4558" s="59"/>
      <c r="F4558" s="60"/>
      <c r="G4558" s="34"/>
      <c r="H4558" s="30"/>
      <c r="I4558" s="35"/>
      <c r="J4558" s="41"/>
      <c r="K4558" s="10"/>
      <c r="L4558" s="32"/>
      <c r="M4558" s="10"/>
      <c r="N4558" s="33">
        <f>178+14+12+4+47</f>
        <v>255</v>
      </c>
      <c r="O4558" s="31">
        <f>ROUND(PRODUCT(J4558:N4558),2)</f>
        <v>255</v>
      </c>
      <c r="P4558" s="185"/>
    </row>
    <row r="4559" spans="1:16" hidden="1" outlineLevel="1">
      <c r="A4559" s="2">
        <v>10</v>
      </c>
      <c r="B4559" s="2">
        <v>10</v>
      </c>
      <c r="C4559" s="2">
        <f>C4557+1</f>
        <v>24</v>
      </c>
      <c r="E4559" s="20" t="str">
        <f>CONCATENATE(A4559,".",B4559,".",C4559)</f>
        <v>10.10.24</v>
      </c>
      <c r="F4559" s="21" t="s">
        <v>5048</v>
      </c>
      <c r="G4559" s="22" t="s">
        <v>4808</v>
      </c>
      <c r="H4559" s="23" t="s">
        <v>4809</v>
      </c>
      <c r="I4559" s="24" t="s">
        <v>36</v>
      </c>
      <c r="J4559" s="32"/>
      <c r="K4559" s="10"/>
      <c r="L4559" s="32"/>
      <c r="M4559" s="10"/>
      <c r="N4559" s="33"/>
      <c r="O4559" s="11">
        <f>SUM(O4560)</f>
        <v>190</v>
      </c>
      <c r="P4559" s="185"/>
    </row>
    <row r="4560" spans="1:16" hidden="1" outlineLevel="2">
      <c r="E4560" s="59"/>
      <c r="F4560" s="60"/>
      <c r="G4560" s="34"/>
      <c r="H4560" s="30"/>
      <c r="I4560" s="35"/>
      <c r="J4560" s="41"/>
      <c r="K4560" s="10"/>
      <c r="L4560" s="32"/>
      <c r="M4560" s="10"/>
      <c r="N4560" s="33">
        <f>178+12</f>
        <v>190</v>
      </c>
      <c r="O4560" s="31">
        <f>ROUND(PRODUCT(J4560:N4560),2)</f>
        <v>190</v>
      </c>
      <c r="P4560" s="185"/>
    </row>
    <row r="4561" spans="1:16" hidden="1" outlineLevel="1">
      <c r="A4561" s="2">
        <v>10</v>
      </c>
      <c r="B4561" s="2">
        <v>10</v>
      </c>
      <c r="C4561" s="2">
        <f>C4559+1</f>
        <v>25</v>
      </c>
      <c r="E4561" s="20" t="str">
        <f>CONCATENATE(A4561,".",B4561,".",C4561)</f>
        <v>10.10.25</v>
      </c>
      <c r="F4561" s="21" t="s">
        <v>5049</v>
      </c>
      <c r="G4561" s="22" t="s">
        <v>3996</v>
      </c>
      <c r="H4561" s="23" t="s">
        <v>3997</v>
      </c>
      <c r="I4561" s="24" t="s">
        <v>36</v>
      </c>
      <c r="J4561" s="32"/>
      <c r="K4561" s="10"/>
      <c r="L4561" s="32"/>
      <c r="M4561" s="10"/>
      <c r="N4561" s="33"/>
      <c r="O4561" s="11">
        <f>SUM(O4562)</f>
        <v>65</v>
      </c>
      <c r="P4561" s="185"/>
    </row>
    <row r="4562" spans="1:16" hidden="1" outlineLevel="2">
      <c r="E4562" s="59"/>
      <c r="F4562" s="60"/>
      <c r="G4562" s="34"/>
      <c r="H4562" s="30"/>
      <c r="I4562" s="35"/>
      <c r="J4562" s="41"/>
      <c r="K4562" s="10"/>
      <c r="L4562" s="32"/>
      <c r="M4562" s="10"/>
      <c r="N4562" s="33">
        <f>14+4+47</f>
        <v>65</v>
      </c>
      <c r="O4562" s="31">
        <f>ROUND(PRODUCT(J4562:N4562),2)</f>
        <v>65</v>
      </c>
      <c r="P4562" s="185"/>
    </row>
    <row r="4563" spans="1:16" hidden="1" outlineLevel="1">
      <c r="A4563" s="2">
        <v>10</v>
      </c>
      <c r="B4563" s="2">
        <v>10</v>
      </c>
      <c r="C4563" s="2">
        <f>C4561+1</f>
        <v>26</v>
      </c>
      <c r="E4563" s="20" t="str">
        <f>CONCATENATE(A4563,".",B4563,".",C4563)</f>
        <v>10.10.26</v>
      </c>
      <c r="F4563" s="21" t="s">
        <v>5050</v>
      </c>
      <c r="G4563" s="22" t="s">
        <v>5051</v>
      </c>
      <c r="H4563" s="23" t="s">
        <v>5052</v>
      </c>
      <c r="I4563" s="24" t="s">
        <v>36</v>
      </c>
      <c r="J4563" s="32"/>
      <c r="K4563" s="10"/>
      <c r="L4563" s="32"/>
      <c r="M4563" s="10"/>
      <c r="N4563" s="33"/>
      <c r="O4563" s="11">
        <f>SUM(O4564)</f>
        <v>6</v>
      </c>
      <c r="P4563" s="185"/>
    </row>
    <row r="4564" spans="1:16" hidden="1" outlineLevel="2">
      <c r="E4564" s="59"/>
      <c r="F4564" s="60"/>
      <c r="G4564" s="34"/>
      <c r="H4564" s="30"/>
      <c r="I4564" s="35"/>
      <c r="J4564" s="41"/>
      <c r="K4564" s="10"/>
      <c r="L4564" s="32"/>
      <c r="M4564" s="10"/>
      <c r="N4564" s="33">
        <v>6</v>
      </c>
      <c r="O4564" s="31">
        <f>ROUND(PRODUCT(J4564:N4564),2)</f>
        <v>6</v>
      </c>
      <c r="P4564" s="185"/>
    </row>
    <row r="4565" spans="1:16" hidden="1" outlineLevel="1">
      <c r="A4565" s="2">
        <v>10</v>
      </c>
      <c r="B4565" s="2">
        <v>10</v>
      </c>
      <c r="C4565" s="2">
        <f>C4563+1</f>
        <v>27</v>
      </c>
      <c r="E4565" s="20" t="str">
        <f>CONCATENATE(A4565,".",B4565,".",C4565)</f>
        <v>10.10.27</v>
      </c>
      <c r="F4565" s="21" t="s">
        <v>5053</v>
      </c>
      <c r="G4565" s="22" t="s">
        <v>5054</v>
      </c>
      <c r="H4565" s="23" t="s">
        <v>5055</v>
      </c>
      <c r="I4565" s="24" t="s">
        <v>36</v>
      </c>
      <c r="J4565" s="32"/>
      <c r="K4565" s="10"/>
      <c r="L4565" s="32"/>
      <c r="M4565" s="10"/>
      <c r="N4565" s="33"/>
      <c r="O4565" s="11">
        <f>SUM(O4566)</f>
        <v>2</v>
      </c>
      <c r="P4565" s="185"/>
    </row>
    <row r="4566" spans="1:16" hidden="1" outlineLevel="2">
      <c r="E4566" s="59"/>
      <c r="F4566" s="60"/>
      <c r="G4566" s="34"/>
      <c r="H4566" s="30"/>
      <c r="I4566" s="35"/>
      <c r="J4566" s="41"/>
      <c r="K4566" s="10"/>
      <c r="L4566" s="32"/>
      <c r="M4566" s="10"/>
      <c r="N4566" s="33">
        <v>2</v>
      </c>
      <c r="O4566" s="31">
        <f>ROUND(PRODUCT(J4566:N4566),2)</f>
        <v>2</v>
      </c>
      <c r="P4566" s="185"/>
    </row>
    <row r="4567" spans="1:16" hidden="1" outlineLevel="1">
      <c r="A4567" s="2">
        <v>10</v>
      </c>
      <c r="B4567" s="2">
        <v>10</v>
      </c>
      <c r="C4567" s="2">
        <f>C4565+1</f>
        <v>28</v>
      </c>
      <c r="E4567" s="20" t="str">
        <f>CONCATENATE(A4567,".",B4567,".",C4567)</f>
        <v>10.10.28</v>
      </c>
      <c r="F4567" s="21" t="s">
        <v>5056</v>
      </c>
      <c r="G4567" s="22" t="s">
        <v>5057</v>
      </c>
      <c r="H4567" s="23" t="s">
        <v>5058</v>
      </c>
      <c r="I4567" s="24" t="s">
        <v>36</v>
      </c>
      <c r="J4567" s="32"/>
      <c r="K4567" s="10"/>
      <c r="L4567" s="32"/>
      <c r="M4567" s="10"/>
      <c r="N4567" s="33"/>
      <c r="O4567" s="11">
        <f>SUM(O4568)</f>
        <v>1</v>
      </c>
      <c r="P4567" s="185"/>
    </row>
    <row r="4568" spans="1:16" hidden="1" outlineLevel="2">
      <c r="E4568" s="59"/>
      <c r="F4568" s="60"/>
      <c r="G4568" s="34"/>
      <c r="H4568" s="30"/>
      <c r="I4568" s="35"/>
      <c r="J4568" s="41"/>
      <c r="K4568" s="10"/>
      <c r="L4568" s="32"/>
      <c r="M4568" s="10"/>
      <c r="N4568" s="33">
        <v>1</v>
      </c>
      <c r="O4568" s="31">
        <f>ROUND(PRODUCT(J4568:N4568),2)</f>
        <v>1</v>
      </c>
      <c r="P4568" s="185"/>
    </row>
    <row r="4569" spans="1:16" hidden="1" outlineLevel="1">
      <c r="A4569" s="2">
        <v>10</v>
      </c>
      <c r="B4569" s="2">
        <v>10</v>
      </c>
      <c r="C4569" s="2">
        <f>C4567+1</f>
        <v>29</v>
      </c>
      <c r="E4569" s="20" t="str">
        <f>CONCATENATE(A4569,".",B4569,".",C4569)</f>
        <v>10.10.29</v>
      </c>
      <c r="F4569" s="21" t="s">
        <v>5059</v>
      </c>
      <c r="G4569" s="22" t="s">
        <v>5060</v>
      </c>
      <c r="H4569" s="23" t="s">
        <v>5061</v>
      </c>
      <c r="I4569" s="24" t="s">
        <v>36</v>
      </c>
      <c r="J4569" s="32"/>
      <c r="K4569" s="10"/>
      <c r="L4569" s="32"/>
      <c r="M4569" s="10"/>
      <c r="N4569" s="33"/>
      <c r="O4569" s="11">
        <f>SUM(O4570)</f>
        <v>20</v>
      </c>
      <c r="P4569" s="185"/>
    </row>
    <row r="4570" spans="1:16" hidden="1" outlineLevel="2">
      <c r="E4570" s="59"/>
      <c r="F4570" s="60"/>
      <c r="G4570" s="34"/>
      <c r="H4570" s="30"/>
      <c r="I4570" s="35"/>
      <c r="J4570" s="41"/>
      <c r="K4570" s="10"/>
      <c r="L4570" s="32"/>
      <c r="M4570" s="10"/>
      <c r="N4570" s="33">
        <v>20</v>
      </c>
      <c r="O4570" s="31">
        <f>ROUND(PRODUCT(J4570:N4570),2)</f>
        <v>20</v>
      </c>
      <c r="P4570" s="185"/>
    </row>
    <row r="4571" spans="1:16" hidden="1" outlineLevel="1">
      <c r="A4571" s="2">
        <v>10</v>
      </c>
      <c r="B4571" s="2">
        <v>10</v>
      </c>
      <c r="C4571" s="2">
        <f>C4569+1</f>
        <v>30</v>
      </c>
      <c r="E4571" s="20" t="str">
        <f>CONCATENATE(A4571,".",B4571,".",C4571)</f>
        <v>10.10.30</v>
      </c>
      <c r="F4571" s="21" t="s">
        <v>5062</v>
      </c>
      <c r="G4571" s="22" t="s">
        <v>5063</v>
      </c>
      <c r="H4571" s="23" t="s">
        <v>5064</v>
      </c>
      <c r="I4571" s="24" t="s">
        <v>36</v>
      </c>
      <c r="J4571" s="32"/>
      <c r="K4571" s="10"/>
      <c r="L4571" s="32"/>
      <c r="M4571" s="10"/>
      <c r="N4571" s="33"/>
      <c r="O4571" s="11">
        <f>SUM(O4572)</f>
        <v>4</v>
      </c>
      <c r="P4571" s="185"/>
    </row>
    <row r="4572" spans="1:16" hidden="1" outlineLevel="2">
      <c r="E4572" s="59"/>
      <c r="F4572" s="60"/>
      <c r="G4572" s="34"/>
      <c r="H4572" s="30"/>
      <c r="I4572" s="35"/>
      <c r="J4572" s="41"/>
      <c r="K4572" s="10"/>
      <c r="L4572" s="32"/>
      <c r="M4572" s="10"/>
      <c r="N4572" s="33">
        <v>4</v>
      </c>
      <c r="O4572" s="31">
        <f>ROUND(PRODUCT(J4572:N4572),2)</f>
        <v>4</v>
      </c>
      <c r="P4572" s="185"/>
    </row>
    <row r="4573" spans="1:16" hidden="1" outlineLevel="1">
      <c r="A4573" s="2">
        <v>10</v>
      </c>
      <c r="B4573" s="2">
        <v>10</v>
      </c>
      <c r="C4573" s="2">
        <f>C4571+1</f>
        <v>31</v>
      </c>
      <c r="E4573" s="20" t="str">
        <f>CONCATENATE(A4573,".",B4573,".",C4573)</f>
        <v>10.10.31</v>
      </c>
      <c r="F4573" s="21" t="s">
        <v>5065</v>
      </c>
      <c r="G4573" s="22" t="s">
        <v>5066</v>
      </c>
      <c r="H4573" s="23" t="s">
        <v>5067</v>
      </c>
      <c r="I4573" s="24" t="s">
        <v>36</v>
      </c>
      <c r="J4573" s="32"/>
      <c r="K4573" s="10"/>
      <c r="L4573" s="32"/>
      <c r="M4573" s="10"/>
      <c r="N4573" s="33"/>
      <c r="O4573" s="11">
        <f>SUM(O4574)</f>
        <v>1</v>
      </c>
      <c r="P4573" s="185"/>
    </row>
    <row r="4574" spans="1:16" hidden="1" outlineLevel="2">
      <c r="E4574" s="59"/>
      <c r="F4574" s="60"/>
      <c r="G4574" s="34"/>
      <c r="H4574" s="30"/>
      <c r="I4574" s="35"/>
      <c r="J4574" s="41"/>
      <c r="K4574" s="10"/>
      <c r="L4574" s="32"/>
      <c r="M4574" s="10"/>
      <c r="N4574" s="33">
        <v>1</v>
      </c>
      <c r="O4574" s="31">
        <f>ROUND(PRODUCT(J4574:N4574),2)</f>
        <v>1</v>
      </c>
      <c r="P4574" s="185"/>
    </row>
    <row r="4575" spans="1:16" hidden="1" outlineLevel="1">
      <c r="A4575" s="2">
        <v>10</v>
      </c>
      <c r="B4575" s="2">
        <v>10</v>
      </c>
      <c r="C4575" s="2">
        <f>C4573+1</f>
        <v>32</v>
      </c>
      <c r="E4575" s="20" t="str">
        <f>CONCATENATE(A4575,".",B4575,".",C4575)</f>
        <v>10.10.32</v>
      </c>
      <c r="F4575" s="21" t="s">
        <v>5068</v>
      </c>
      <c r="G4575" s="22" t="s">
        <v>3856</v>
      </c>
      <c r="H4575" s="23" t="s">
        <v>3857</v>
      </c>
      <c r="I4575" s="24" t="s">
        <v>36</v>
      </c>
      <c r="J4575" s="32"/>
      <c r="K4575" s="10"/>
      <c r="L4575" s="32"/>
      <c r="M4575" s="10"/>
      <c r="N4575" s="33"/>
      <c r="O4575" s="11">
        <f>SUM(O4576)</f>
        <v>21</v>
      </c>
      <c r="P4575" s="185"/>
    </row>
    <row r="4576" spans="1:16" hidden="1" outlineLevel="2">
      <c r="E4576" s="59"/>
      <c r="F4576" s="60"/>
      <c r="G4576" s="34"/>
      <c r="H4576" s="30"/>
      <c r="I4576" s="35"/>
      <c r="J4576" s="41"/>
      <c r="K4576" s="10"/>
      <c r="L4576" s="32"/>
      <c r="M4576" s="10"/>
      <c r="N4576" s="33">
        <v>21</v>
      </c>
      <c r="O4576" s="31">
        <f>ROUND(PRODUCT(J4576:N4576),2)</f>
        <v>21</v>
      </c>
      <c r="P4576" s="185"/>
    </row>
    <row r="4577" spans="1:17" ht="30" hidden="1" outlineLevel="1">
      <c r="A4577" s="2">
        <v>10</v>
      </c>
      <c r="B4577" s="2">
        <v>10</v>
      </c>
      <c r="C4577" s="2">
        <f>C4575+1</f>
        <v>33</v>
      </c>
      <c r="E4577" s="20" t="str">
        <f>CONCATENATE(A4577,".",B4577,".",C4577)</f>
        <v>10.10.33</v>
      </c>
      <c r="F4577" s="21" t="s">
        <v>5069</v>
      </c>
      <c r="G4577" s="22" t="s">
        <v>4226</v>
      </c>
      <c r="H4577" s="23" t="s">
        <v>4227</v>
      </c>
      <c r="I4577" s="24" t="s">
        <v>36</v>
      </c>
      <c r="J4577" s="32"/>
      <c r="K4577" s="10"/>
      <c r="L4577" s="32"/>
      <c r="M4577" s="10"/>
      <c r="N4577" s="33"/>
      <c r="O4577" s="11">
        <f>SUM(O4578)</f>
        <v>1</v>
      </c>
      <c r="P4577" s="185"/>
    </row>
    <row r="4578" spans="1:17" hidden="1" outlineLevel="2">
      <c r="E4578" s="59"/>
      <c r="F4578" s="60"/>
      <c r="G4578" s="34"/>
      <c r="H4578" s="30"/>
      <c r="I4578" s="35"/>
      <c r="J4578" s="41"/>
      <c r="K4578" s="10"/>
      <c r="L4578" s="32"/>
      <c r="M4578" s="10"/>
      <c r="N4578" s="33">
        <v>1</v>
      </c>
      <c r="O4578" s="31">
        <f>ROUND(PRODUCT(J4578:N4578),2)</f>
        <v>1</v>
      </c>
      <c r="P4578" s="185"/>
    </row>
    <row r="4579" spans="1:17" ht="30" hidden="1" outlineLevel="1">
      <c r="A4579" s="2">
        <v>10</v>
      </c>
      <c r="B4579" s="2">
        <v>10</v>
      </c>
      <c r="C4579" s="2">
        <f>C4577+1</f>
        <v>34</v>
      </c>
      <c r="E4579" s="20" t="str">
        <f>CONCATENATE(A4579,".",B4579,".",C4579)</f>
        <v>10.10.34</v>
      </c>
      <c r="F4579" s="21" t="s">
        <v>5070</v>
      </c>
      <c r="G4579" s="22">
        <v>91873</v>
      </c>
      <c r="H4579" s="23" t="s">
        <v>5071</v>
      </c>
      <c r="I4579" s="24" t="s">
        <v>144</v>
      </c>
      <c r="J4579" s="32"/>
      <c r="K4579" s="10"/>
      <c r="L4579" s="32"/>
      <c r="M4579" s="10"/>
      <c r="N4579" s="33"/>
      <c r="O4579" s="11">
        <f>SUM(O4580)</f>
        <v>11.7</v>
      </c>
      <c r="P4579" s="185"/>
    </row>
    <row r="4580" spans="1:17" hidden="1" outlineLevel="2">
      <c r="E4580" s="59"/>
      <c r="F4580" s="60"/>
      <c r="G4580" s="34"/>
      <c r="H4580" s="30"/>
      <c r="I4580" s="35"/>
      <c r="J4580" s="41"/>
      <c r="K4580" s="10"/>
      <c r="L4580" s="32"/>
      <c r="M4580" s="10"/>
      <c r="N4580" s="33">
        <v>11.7</v>
      </c>
      <c r="O4580" s="31">
        <f>ROUND(PRODUCT(J4580:N4580),2)</f>
        <v>11.7</v>
      </c>
      <c r="P4580" s="185"/>
    </row>
    <row r="4581" spans="1:17" ht="30" hidden="1" outlineLevel="1">
      <c r="A4581" s="2">
        <v>10</v>
      </c>
      <c r="B4581" s="2">
        <v>10</v>
      </c>
      <c r="C4581" s="2">
        <f>C4579+1</f>
        <v>35</v>
      </c>
      <c r="E4581" s="20" t="str">
        <f>CONCATENATE(A4581,".",B4581,".",C4581)</f>
        <v>10.10.35</v>
      </c>
      <c r="F4581" s="21" t="s">
        <v>5072</v>
      </c>
      <c r="G4581" s="22">
        <v>95727</v>
      </c>
      <c r="H4581" s="23" t="s">
        <v>5073</v>
      </c>
      <c r="I4581" s="24" t="s">
        <v>144</v>
      </c>
      <c r="J4581" s="32"/>
      <c r="K4581" s="10"/>
      <c r="L4581" s="32"/>
      <c r="M4581" s="10"/>
      <c r="N4581" s="33"/>
      <c r="O4581" s="11">
        <f>SUM(O4582)</f>
        <v>141.4</v>
      </c>
      <c r="P4581" s="185"/>
    </row>
    <row r="4582" spans="1:17" hidden="1" outlineLevel="2">
      <c r="E4582" s="59"/>
      <c r="F4582" s="60"/>
      <c r="G4582" s="34"/>
      <c r="H4582" s="30"/>
      <c r="I4582" s="35"/>
      <c r="J4582" s="41"/>
      <c r="K4582" s="10"/>
      <c r="L4582" s="32"/>
      <c r="M4582" s="10"/>
      <c r="N4582" s="33">
        <v>141.4</v>
      </c>
      <c r="O4582" s="31">
        <f>ROUND(PRODUCT(J4582:N4582),2)</f>
        <v>141.4</v>
      </c>
      <c r="P4582" s="185"/>
    </row>
    <row r="4583" spans="1:17" ht="30" hidden="1" outlineLevel="1">
      <c r="A4583" s="2">
        <v>10</v>
      </c>
      <c r="B4583" s="2">
        <v>10</v>
      </c>
      <c r="C4583" s="2">
        <f>C4581+1</f>
        <v>36</v>
      </c>
      <c r="E4583" s="20" t="str">
        <f>CONCATENATE(A4583,".",B4583,".",C4583)</f>
        <v>10.10.36</v>
      </c>
      <c r="F4583" s="21" t="s">
        <v>5074</v>
      </c>
      <c r="G4583" s="22" t="s">
        <v>5075</v>
      </c>
      <c r="H4583" s="23" t="s">
        <v>5076</v>
      </c>
      <c r="I4583" s="24" t="s">
        <v>36</v>
      </c>
      <c r="J4583" s="32"/>
      <c r="K4583" s="10"/>
      <c r="L4583" s="32"/>
      <c r="M4583" s="10"/>
      <c r="N4583" s="33"/>
      <c r="O4583" s="11">
        <f>SUM(O4584)</f>
        <v>3</v>
      </c>
      <c r="P4583" s="185"/>
    </row>
    <row r="4584" spans="1:17" hidden="1" outlineLevel="2">
      <c r="E4584" s="59"/>
      <c r="F4584" s="60"/>
      <c r="G4584" s="34"/>
      <c r="H4584" s="30"/>
      <c r="I4584" s="35"/>
      <c r="J4584" s="41"/>
      <c r="K4584" s="10"/>
      <c r="L4584" s="32"/>
      <c r="M4584" s="10"/>
      <c r="N4584" s="33">
        <v>3</v>
      </c>
      <c r="O4584" s="31">
        <f>ROUND(PRODUCT(J4584:N4584),2)</f>
        <v>3</v>
      </c>
      <c r="P4584" s="185"/>
    </row>
    <row r="4585" spans="1:17" ht="30" hidden="1" outlineLevel="1">
      <c r="A4585" s="2">
        <v>10</v>
      </c>
      <c r="B4585" s="2">
        <v>10</v>
      </c>
      <c r="C4585" s="2">
        <f>C4583+1</f>
        <v>37</v>
      </c>
      <c r="E4585" s="20" t="str">
        <f>CONCATENATE(A4585,".",B4585,".",C4585)</f>
        <v>10.10.37</v>
      </c>
      <c r="F4585" s="21" t="s">
        <v>5077</v>
      </c>
      <c r="G4585" s="22" t="s">
        <v>5078</v>
      </c>
      <c r="H4585" s="23" t="s">
        <v>3254</v>
      </c>
      <c r="I4585" s="24" t="s">
        <v>36</v>
      </c>
      <c r="J4585" s="32"/>
      <c r="K4585" s="10"/>
      <c r="L4585" s="32"/>
      <c r="M4585" s="10"/>
      <c r="N4585" s="33"/>
      <c r="O4585" s="11">
        <f>SUM(O4586)</f>
        <v>14</v>
      </c>
      <c r="P4585" s="185"/>
    </row>
    <row r="4586" spans="1:17" hidden="1" outlineLevel="2">
      <c r="E4586" s="59"/>
      <c r="F4586" s="60"/>
      <c r="G4586" s="34"/>
      <c r="H4586" s="30"/>
      <c r="I4586" s="35"/>
      <c r="J4586" s="41"/>
      <c r="K4586" s="10"/>
      <c r="L4586" s="32"/>
      <c r="M4586" s="10"/>
      <c r="N4586" s="33">
        <v>14</v>
      </c>
      <c r="O4586" s="31">
        <f>ROUND(PRODUCT(J4586:N4586),2)</f>
        <v>14</v>
      </c>
      <c r="P4586" s="185"/>
    </row>
    <row r="4587" spans="1:17" hidden="1" outlineLevel="1">
      <c r="A4587" s="2">
        <v>10</v>
      </c>
      <c r="B4587" s="2">
        <v>10</v>
      </c>
      <c r="C4587" s="2">
        <f>C4585+1</f>
        <v>38</v>
      </c>
      <c r="E4587" s="20" t="str">
        <f>CONCATENATE(A4587,".",B4587,".",C4587)</f>
        <v>10.10.38</v>
      </c>
      <c r="F4587" s="21" t="s">
        <v>5079</v>
      </c>
      <c r="G4587" s="22" t="s">
        <v>5080</v>
      </c>
      <c r="H4587" s="23" t="s">
        <v>3245</v>
      </c>
      <c r="I4587" s="24" t="s">
        <v>36</v>
      </c>
      <c r="J4587" s="32"/>
      <c r="K4587" s="10"/>
      <c r="L4587" s="32"/>
      <c r="M4587" s="10"/>
      <c r="N4587" s="33"/>
      <c r="O4587" s="11">
        <f>SUM(O4588)</f>
        <v>8</v>
      </c>
      <c r="P4587" s="185"/>
    </row>
    <row r="4588" spans="1:17" hidden="1" outlineLevel="2">
      <c r="E4588" s="59"/>
      <c r="F4588" s="60"/>
      <c r="G4588" s="34"/>
      <c r="H4588" s="30"/>
      <c r="I4588" s="35"/>
      <c r="J4588" s="41"/>
      <c r="K4588" s="10"/>
      <c r="L4588" s="32"/>
      <c r="M4588" s="10"/>
      <c r="N4588" s="33">
        <v>8</v>
      </c>
      <c r="O4588" s="31">
        <f>ROUND(PRODUCT(J4588:N4588),2)</f>
        <v>8</v>
      </c>
      <c r="P4588" s="185"/>
    </row>
    <row r="4589" spans="1:17" collapsed="1">
      <c r="A4589" s="2">
        <v>10</v>
      </c>
      <c r="B4589" s="2">
        <v>11</v>
      </c>
      <c r="C4589" s="2">
        <v>1</v>
      </c>
      <c r="E4589" s="42" t="str">
        <f>CONCATENATE(A4589,".",B4589)</f>
        <v>10.11</v>
      </c>
      <c r="F4589" s="45" t="s">
        <v>5081</v>
      </c>
      <c r="G4589" s="13"/>
      <c r="H4589" s="14" t="s">
        <v>700</v>
      </c>
      <c r="I4589" s="15"/>
      <c r="J4589" s="16"/>
      <c r="K4589" s="17"/>
      <c r="L4589" s="16"/>
      <c r="M4589" s="17"/>
      <c r="N4589" s="18"/>
      <c r="O4589" s="19"/>
      <c r="P4589" s="185"/>
      <c r="Q4589" s="185"/>
    </row>
    <row r="4590" spans="1:17">
      <c r="A4590" s="2">
        <v>10</v>
      </c>
      <c r="B4590" s="2">
        <v>11</v>
      </c>
      <c r="C4590" s="2">
        <v>1</v>
      </c>
      <c r="E4590" s="42" t="str">
        <f>CONCATENATE(A4590,".",B4590,".",C4590)</f>
        <v>10.11.1</v>
      </c>
      <c r="F4590" s="45" t="s">
        <v>5021</v>
      </c>
      <c r="G4590" s="13"/>
      <c r="H4590" s="14" t="s">
        <v>702</v>
      </c>
      <c r="I4590" s="15"/>
      <c r="J4590" s="16"/>
      <c r="K4590" s="17"/>
      <c r="L4590" s="16"/>
      <c r="M4590" s="17"/>
      <c r="N4590" s="18"/>
      <c r="O4590" s="19"/>
      <c r="P4590" s="185"/>
      <c r="Q4590" s="185"/>
    </row>
    <row r="4591" spans="1:17" ht="30" hidden="1" outlineLevel="1">
      <c r="A4591" s="2">
        <v>10</v>
      </c>
      <c r="B4591" s="2">
        <v>11</v>
      </c>
      <c r="C4591" s="2">
        <v>1</v>
      </c>
      <c r="D4591" s="2">
        <v>1</v>
      </c>
      <c r="E4591" s="20" t="str">
        <f>CONCATENATE(A4591,".",B4591,".",C4591,".",D4591)</f>
        <v>10.11.1.1</v>
      </c>
      <c r="F4591" s="21" t="s">
        <v>5082</v>
      </c>
      <c r="G4591" s="22">
        <v>105230</v>
      </c>
      <c r="H4591" s="23" t="s">
        <v>1801</v>
      </c>
      <c r="I4591" s="24" t="s">
        <v>36</v>
      </c>
      <c r="J4591" s="32"/>
      <c r="K4591" s="10"/>
      <c r="L4591" s="32"/>
      <c r="M4591" s="10"/>
      <c r="N4591" s="33"/>
      <c r="O4591" s="11">
        <f>SUM(O4592)</f>
        <v>4</v>
      </c>
      <c r="P4591" s="185"/>
      <c r="Q4591" s="185"/>
    </row>
    <row r="4592" spans="1:17" hidden="1" outlineLevel="2">
      <c r="E4592" s="72"/>
      <c r="F4592" s="21"/>
      <c r="G4592" s="34"/>
      <c r="H4592" s="30"/>
      <c r="I4592" s="35"/>
      <c r="J4592" s="41"/>
      <c r="K4592" s="10"/>
      <c r="L4592" s="32"/>
      <c r="M4592" s="10"/>
      <c r="N4592" s="33">
        <v>4</v>
      </c>
      <c r="O4592" s="31">
        <f>ROUND(PRODUCT(J4592:N4592),2)</f>
        <v>4</v>
      </c>
      <c r="P4592" s="185"/>
    </row>
    <row r="4593" spans="1:16" ht="30" hidden="1" outlineLevel="1">
      <c r="A4593" s="2">
        <v>10</v>
      </c>
      <c r="B4593" s="2">
        <v>11</v>
      </c>
      <c r="C4593" s="2">
        <v>1</v>
      </c>
      <c r="D4593" s="2">
        <f>D4591+1</f>
        <v>2</v>
      </c>
      <c r="E4593" s="20" t="str">
        <f>CONCATENATE(A4593,".",B4593,".",C4593,".",D4593)</f>
        <v>10.11.1.2</v>
      </c>
      <c r="F4593" s="21" t="s">
        <v>5083</v>
      </c>
      <c r="G4593" s="22">
        <v>96702</v>
      </c>
      <c r="H4593" s="23" t="s">
        <v>5084</v>
      </c>
      <c r="I4593" s="24" t="s">
        <v>36</v>
      </c>
      <c r="J4593" s="32"/>
      <c r="K4593" s="10"/>
      <c r="L4593" s="32"/>
      <c r="M4593" s="10"/>
      <c r="N4593" s="33"/>
      <c r="O4593" s="11">
        <f>SUM(O4594)</f>
        <v>5</v>
      </c>
      <c r="P4593" s="185"/>
    </row>
    <row r="4594" spans="1:16" hidden="1" outlineLevel="2">
      <c r="E4594" s="72"/>
      <c r="F4594" s="21"/>
      <c r="G4594" s="22"/>
      <c r="H4594" s="23"/>
      <c r="I4594" s="35"/>
      <c r="J4594" s="41"/>
      <c r="K4594" s="10"/>
      <c r="L4594" s="32"/>
      <c r="M4594" s="10"/>
      <c r="N4594" s="33">
        <v>5</v>
      </c>
      <c r="O4594" s="31">
        <f>ROUND(PRODUCT(J4594:N4594),2)</f>
        <v>5</v>
      </c>
      <c r="P4594" s="185"/>
    </row>
    <row r="4595" spans="1:16" ht="30" hidden="1" outlineLevel="1">
      <c r="A4595" s="2">
        <v>10</v>
      </c>
      <c r="B4595" s="2">
        <v>11</v>
      </c>
      <c r="C4595" s="2">
        <v>1</v>
      </c>
      <c r="D4595" s="2">
        <f>D4593+1</f>
        <v>3</v>
      </c>
      <c r="E4595" s="20" t="str">
        <f>CONCATENATE(A4595,".",B4595,".",C4595,".",D4595)</f>
        <v>10.11.1.3</v>
      </c>
      <c r="F4595" s="21" t="s">
        <v>5085</v>
      </c>
      <c r="G4595" s="22">
        <v>103993</v>
      </c>
      <c r="H4595" s="23" t="s">
        <v>1807</v>
      </c>
      <c r="I4595" s="24" t="s">
        <v>36</v>
      </c>
      <c r="J4595" s="32"/>
      <c r="K4595" s="10"/>
      <c r="L4595" s="32"/>
      <c r="M4595" s="10"/>
      <c r="N4595" s="33"/>
      <c r="O4595" s="11">
        <f>SUM(O4596)</f>
        <v>3</v>
      </c>
      <c r="P4595" s="185"/>
    </row>
    <row r="4596" spans="1:16" hidden="1" outlineLevel="2">
      <c r="E4596" s="72"/>
      <c r="F4596" s="21"/>
      <c r="G4596" s="22"/>
      <c r="H4596" s="23"/>
      <c r="I4596" s="35"/>
      <c r="J4596" s="41"/>
      <c r="K4596" s="10"/>
      <c r="L4596" s="32"/>
      <c r="M4596" s="10"/>
      <c r="N4596" s="33">
        <v>3</v>
      </c>
      <c r="O4596" s="31">
        <f>ROUND(PRODUCT(J4596:N4596),2)</f>
        <v>3</v>
      </c>
      <c r="P4596" s="185"/>
    </row>
    <row r="4597" spans="1:16" hidden="1" outlineLevel="1">
      <c r="A4597" s="2">
        <v>10</v>
      </c>
      <c r="B4597" s="2">
        <v>11</v>
      </c>
      <c r="C4597" s="2">
        <v>1</v>
      </c>
      <c r="D4597" s="2">
        <f>D4595+1</f>
        <v>4</v>
      </c>
      <c r="E4597" s="20" t="str">
        <f>CONCATENATE(A4597,".",B4597,".",C4597,".",D4597)</f>
        <v>10.11.1.4</v>
      </c>
      <c r="F4597" s="21" t="s">
        <v>5086</v>
      </c>
      <c r="G4597" s="22"/>
      <c r="H4597" s="23"/>
      <c r="I4597" s="24" t="s">
        <v>36</v>
      </c>
      <c r="J4597" s="32"/>
      <c r="K4597" s="10"/>
      <c r="L4597" s="32"/>
      <c r="M4597" s="10"/>
      <c r="N4597" s="33"/>
      <c r="O4597" s="11">
        <f>SUM(O4598)</f>
        <v>1</v>
      </c>
      <c r="P4597" s="185"/>
    </row>
    <row r="4598" spans="1:16" hidden="1" outlineLevel="2">
      <c r="E4598" s="72"/>
      <c r="F4598" s="21"/>
      <c r="G4598" s="22"/>
      <c r="H4598" s="23"/>
      <c r="I4598" s="35"/>
      <c r="J4598" s="41"/>
      <c r="K4598" s="10"/>
      <c r="L4598" s="32"/>
      <c r="M4598" s="10"/>
      <c r="N4598" s="33">
        <v>1</v>
      </c>
      <c r="O4598" s="31">
        <f>ROUND(PRODUCT(J4598:N4598),2)</f>
        <v>1</v>
      </c>
      <c r="P4598" s="185"/>
    </row>
    <row r="4599" spans="1:16" ht="30" hidden="1" outlineLevel="1">
      <c r="A4599" s="2">
        <v>10</v>
      </c>
      <c r="B4599" s="2">
        <v>11</v>
      </c>
      <c r="C4599" s="2">
        <v>1</v>
      </c>
      <c r="D4599" s="2">
        <f>D4597+1</f>
        <v>5</v>
      </c>
      <c r="E4599" s="20" t="str">
        <f>CONCATENATE(A4599,".",B4599,".",C4599,".",D4599)</f>
        <v>10.11.1.5</v>
      </c>
      <c r="F4599" s="21" t="s">
        <v>5087</v>
      </c>
      <c r="G4599" s="22">
        <v>89362</v>
      </c>
      <c r="H4599" s="23" t="s">
        <v>729</v>
      </c>
      <c r="I4599" s="24" t="s">
        <v>36</v>
      </c>
      <c r="J4599" s="32"/>
      <c r="K4599" s="10"/>
      <c r="L4599" s="32"/>
      <c r="M4599" s="10"/>
      <c r="N4599" s="33"/>
      <c r="O4599" s="11">
        <f>SUM(O4600)</f>
        <v>25</v>
      </c>
      <c r="P4599" s="185"/>
    </row>
    <row r="4600" spans="1:16" hidden="1" outlineLevel="2">
      <c r="E4600" s="72"/>
      <c r="F4600" s="21"/>
      <c r="G4600" s="22"/>
      <c r="H4600" s="23"/>
      <c r="I4600" s="35"/>
      <c r="J4600" s="41"/>
      <c r="K4600" s="10"/>
      <c r="L4600" s="32"/>
      <c r="M4600" s="10"/>
      <c r="N4600" s="33">
        <v>25</v>
      </c>
      <c r="O4600" s="31">
        <f>ROUND(PRODUCT(J4600:N4600),2)</f>
        <v>25</v>
      </c>
      <c r="P4600" s="185"/>
    </row>
    <row r="4601" spans="1:16" ht="30" hidden="1" outlineLevel="1">
      <c r="A4601" s="2">
        <v>10</v>
      </c>
      <c r="B4601" s="2">
        <v>11</v>
      </c>
      <c r="C4601" s="2">
        <v>1</v>
      </c>
      <c r="D4601" s="2">
        <f>D4599+1</f>
        <v>6</v>
      </c>
      <c r="E4601" s="20" t="str">
        <f>CONCATENATE(A4601,".",B4601,".",C4601,".",D4601)</f>
        <v>10.11.1.6</v>
      </c>
      <c r="F4601" s="21" t="s">
        <v>5088</v>
      </c>
      <c r="G4601" s="22">
        <v>89367</v>
      </c>
      <c r="H4601" s="23" t="s">
        <v>726</v>
      </c>
      <c r="I4601" s="24" t="s">
        <v>36</v>
      </c>
      <c r="J4601" s="32"/>
      <c r="K4601" s="10"/>
      <c r="L4601" s="32"/>
      <c r="M4601" s="10"/>
      <c r="N4601" s="33"/>
      <c r="O4601" s="11">
        <f>SUM(O4602)</f>
        <v>7</v>
      </c>
      <c r="P4601" s="185"/>
    </row>
    <row r="4602" spans="1:16" hidden="1" outlineLevel="2">
      <c r="E4602" s="72"/>
      <c r="F4602" s="21"/>
      <c r="G4602" s="22"/>
      <c r="H4602" s="23"/>
      <c r="I4602" s="35"/>
      <c r="J4602" s="41"/>
      <c r="K4602" s="10"/>
      <c r="L4602" s="32"/>
      <c r="M4602" s="10"/>
      <c r="N4602" s="33">
        <v>7</v>
      </c>
      <c r="O4602" s="31">
        <f>ROUND(PRODUCT(J4602:N4602),2)</f>
        <v>7</v>
      </c>
      <c r="P4602" s="185"/>
    </row>
    <row r="4603" spans="1:16" ht="30" hidden="1" outlineLevel="1">
      <c r="A4603" s="2">
        <v>10</v>
      </c>
      <c r="B4603" s="2">
        <v>11</v>
      </c>
      <c r="C4603" s="2">
        <v>1</v>
      </c>
      <c r="D4603" s="2">
        <f>D4601+1</f>
        <v>7</v>
      </c>
      <c r="E4603" s="20" t="str">
        <f>CONCATENATE(A4603,".",B4603,".",C4603,".",D4603)</f>
        <v>10.11.1.7</v>
      </c>
      <c r="F4603" s="21" t="s">
        <v>5089</v>
      </c>
      <c r="G4603" s="22">
        <v>94678</v>
      </c>
      <c r="H4603" s="23" t="s">
        <v>1504</v>
      </c>
      <c r="I4603" s="24"/>
      <c r="J4603" s="32"/>
      <c r="K4603" s="10"/>
      <c r="L4603" s="32"/>
      <c r="M4603" s="10"/>
      <c r="N4603" s="33"/>
      <c r="O4603" s="11">
        <f>SUM(O4604)</f>
        <v>3</v>
      </c>
      <c r="P4603" s="185"/>
    </row>
    <row r="4604" spans="1:16" hidden="1" outlineLevel="2">
      <c r="E4604" s="72"/>
      <c r="F4604" s="21"/>
      <c r="G4604" s="22"/>
      <c r="H4604" s="23"/>
      <c r="I4604" s="35"/>
      <c r="J4604" s="41"/>
      <c r="K4604" s="10"/>
      <c r="L4604" s="32"/>
      <c r="M4604" s="10"/>
      <c r="N4604" s="33">
        <v>3</v>
      </c>
      <c r="O4604" s="31">
        <f>ROUND(PRODUCT(J4604:N4604),2)</f>
        <v>3</v>
      </c>
      <c r="P4604" s="185"/>
    </row>
    <row r="4605" spans="1:16" ht="45" hidden="1" outlineLevel="1">
      <c r="A4605" s="2">
        <v>10</v>
      </c>
      <c r="B4605" s="2">
        <v>11</v>
      </c>
      <c r="C4605" s="2">
        <v>1</v>
      </c>
      <c r="D4605" s="2">
        <f>D4603+1</f>
        <v>8</v>
      </c>
      <c r="E4605" s="20" t="str">
        <f>CONCATENATE(A4605,".",B4605,".",C4605,".",D4605)</f>
        <v>10.11.1.8</v>
      </c>
      <c r="F4605" s="21" t="s">
        <v>5090</v>
      </c>
      <c r="G4605" s="22">
        <v>90373</v>
      </c>
      <c r="H4605" s="23" t="s">
        <v>3267</v>
      </c>
      <c r="I4605" s="24" t="s">
        <v>36</v>
      </c>
      <c r="J4605" s="32"/>
      <c r="K4605" s="10"/>
      <c r="L4605" s="32"/>
      <c r="M4605" s="10"/>
      <c r="N4605" s="33"/>
      <c r="O4605" s="11">
        <f>SUM(O4606)</f>
        <v>8</v>
      </c>
      <c r="P4605" s="185"/>
    </row>
    <row r="4606" spans="1:16" hidden="1" outlineLevel="2">
      <c r="E4606" s="72"/>
      <c r="F4606" s="21"/>
      <c r="G4606" s="22"/>
      <c r="H4606" s="23"/>
      <c r="I4606" s="35"/>
      <c r="J4606" s="41"/>
      <c r="K4606" s="10"/>
      <c r="L4606" s="32"/>
      <c r="M4606" s="10"/>
      <c r="N4606" s="33">
        <v>8</v>
      </c>
      <c r="O4606" s="31">
        <f>ROUND(PRODUCT(J4606:N4606),2)</f>
        <v>8</v>
      </c>
      <c r="P4606" s="185"/>
    </row>
    <row r="4607" spans="1:16" ht="45" hidden="1" outlineLevel="1">
      <c r="A4607" s="2">
        <v>10</v>
      </c>
      <c r="B4607" s="2">
        <v>11</v>
      </c>
      <c r="C4607" s="2">
        <v>1</v>
      </c>
      <c r="D4607" s="2">
        <f>D4605+1</f>
        <v>9</v>
      </c>
      <c r="E4607" s="20" t="str">
        <f>CONCATENATE(A4607,".",B4607,".",C4607,".",D4607)</f>
        <v>10.11.1.9</v>
      </c>
      <c r="F4607" s="21" t="s">
        <v>5091</v>
      </c>
      <c r="G4607" s="22">
        <v>89366</v>
      </c>
      <c r="H4607" s="23" t="s">
        <v>3269</v>
      </c>
      <c r="I4607" s="24"/>
      <c r="J4607" s="32"/>
      <c r="K4607" s="10"/>
      <c r="L4607" s="32"/>
      <c r="M4607" s="10"/>
      <c r="N4607" s="33"/>
      <c r="O4607" s="11">
        <f>SUM(O4608)</f>
        <v>15</v>
      </c>
      <c r="P4607" s="185"/>
    </row>
    <row r="4608" spans="1:16" hidden="1" outlineLevel="2">
      <c r="E4608" s="72"/>
      <c r="F4608" s="21"/>
      <c r="G4608" s="22"/>
      <c r="H4608" s="23"/>
      <c r="I4608" s="35"/>
      <c r="J4608" s="41"/>
      <c r="K4608" s="10"/>
      <c r="L4608" s="32"/>
      <c r="M4608" s="10"/>
      <c r="N4608" s="33">
        <v>15</v>
      </c>
      <c r="O4608" s="31">
        <f>ROUND(PRODUCT(J4608:N4608),2)</f>
        <v>15</v>
      </c>
      <c r="P4608" s="185"/>
    </row>
    <row r="4609" spans="1:16" ht="30" hidden="1" outlineLevel="1">
      <c r="A4609" s="2">
        <v>10</v>
      </c>
      <c r="B4609" s="2">
        <v>11</v>
      </c>
      <c r="C4609" s="2">
        <v>1</v>
      </c>
      <c r="D4609" s="2">
        <f>D4607+1</f>
        <v>10</v>
      </c>
      <c r="E4609" s="20" t="str">
        <f>CONCATENATE(A4609,".",B4609,".",C4609,".",D4609)</f>
        <v>10.11.1.10</v>
      </c>
      <c r="F4609" s="21" t="s">
        <v>5092</v>
      </c>
      <c r="G4609" s="22">
        <v>89397</v>
      </c>
      <c r="H4609" s="23" t="s">
        <v>1103</v>
      </c>
      <c r="I4609" s="24" t="s">
        <v>36</v>
      </c>
      <c r="J4609" s="32"/>
      <c r="K4609" s="10"/>
      <c r="L4609" s="32"/>
      <c r="M4609" s="10"/>
      <c r="N4609" s="33"/>
      <c r="O4609" s="11">
        <f>SUM(O4610)</f>
        <v>4</v>
      </c>
      <c r="P4609" s="185"/>
    </row>
    <row r="4610" spans="1:16" hidden="1" outlineLevel="2">
      <c r="E4610" s="72"/>
      <c r="F4610" s="21"/>
      <c r="G4610" s="22"/>
      <c r="H4610" s="23"/>
      <c r="I4610" s="35"/>
      <c r="J4610" s="41"/>
      <c r="K4610" s="10"/>
      <c r="L4610" s="32"/>
      <c r="M4610" s="10"/>
      <c r="N4610" s="33">
        <v>4</v>
      </c>
      <c r="O4610" s="31">
        <f>ROUND(PRODUCT(J4610:N4610),2)</f>
        <v>4</v>
      </c>
      <c r="P4610" s="185"/>
    </row>
    <row r="4611" spans="1:16" ht="30" hidden="1" outlineLevel="1">
      <c r="A4611" s="2">
        <v>10</v>
      </c>
      <c r="B4611" s="2">
        <v>11</v>
      </c>
      <c r="C4611" s="2">
        <v>1</v>
      </c>
      <c r="D4611" s="2">
        <f>D4609+1</f>
        <v>11</v>
      </c>
      <c r="E4611" s="20" t="str">
        <f>CONCATENATE(A4611,".",B4611,".",C4611,".",D4611)</f>
        <v>10.11.1.11</v>
      </c>
      <c r="F4611" s="21" t="s">
        <v>5093</v>
      </c>
      <c r="G4611" s="22">
        <v>89400</v>
      </c>
      <c r="H4611" s="23" t="s">
        <v>738</v>
      </c>
      <c r="I4611" s="24" t="s">
        <v>36</v>
      </c>
      <c r="J4611" s="32"/>
      <c r="K4611" s="10"/>
      <c r="L4611" s="32"/>
      <c r="M4611" s="10"/>
      <c r="N4611" s="33"/>
      <c r="O4611" s="11">
        <f>SUM(O4612)</f>
        <v>2</v>
      </c>
      <c r="P4611" s="185"/>
    </row>
    <row r="4612" spans="1:16" hidden="1" outlineLevel="2">
      <c r="E4612" s="72"/>
      <c r="F4612" s="21"/>
      <c r="G4612" s="22"/>
      <c r="H4612" s="23"/>
      <c r="I4612" s="35"/>
      <c r="J4612" s="41"/>
      <c r="K4612" s="10"/>
      <c r="L4612" s="32"/>
      <c r="M4612" s="10"/>
      <c r="N4612" s="33">
        <v>2</v>
      </c>
      <c r="O4612" s="31">
        <f>ROUND(PRODUCT(J4612:N4612),2)</f>
        <v>2</v>
      </c>
      <c r="P4612" s="185"/>
    </row>
    <row r="4613" spans="1:16" ht="30" hidden="1" outlineLevel="1">
      <c r="A4613" s="2">
        <v>10</v>
      </c>
      <c r="B4613" s="2">
        <v>11</v>
      </c>
      <c r="C4613" s="2">
        <v>1</v>
      </c>
      <c r="D4613" s="2">
        <f>D4611+1</f>
        <v>12</v>
      </c>
      <c r="E4613" s="20" t="str">
        <f>CONCATENATE(A4613,".",B4613,".",C4613,".",D4613)</f>
        <v>10.11.1.12</v>
      </c>
      <c r="F4613" s="21" t="s">
        <v>5094</v>
      </c>
      <c r="G4613" s="22">
        <v>89624</v>
      </c>
      <c r="H4613" s="23" t="s">
        <v>1817</v>
      </c>
      <c r="I4613" s="24" t="s">
        <v>36</v>
      </c>
      <c r="J4613" s="32"/>
      <c r="K4613" s="10"/>
      <c r="L4613" s="32"/>
      <c r="M4613" s="10"/>
      <c r="N4613" s="33"/>
      <c r="O4613" s="11">
        <f>SUM(O4614)</f>
        <v>2</v>
      </c>
      <c r="P4613" s="185"/>
    </row>
    <row r="4614" spans="1:16" hidden="1" outlineLevel="2">
      <c r="E4614" s="72"/>
      <c r="F4614" s="21"/>
      <c r="G4614" s="22"/>
      <c r="H4614" s="23"/>
      <c r="I4614" s="35"/>
      <c r="J4614" s="41"/>
      <c r="K4614" s="10"/>
      <c r="L4614" s="32"/>
      <c r="M4614" s="10"/>
      <c r="N4614" s="33">
        <v>2</v>
      </c>
      <c r="O4614" s="31">
        <f>ROUND(PRODUCT(J4614:N4614),2)</f>
        <v>2</v>
      </c>
      <c r="P4614" s="185"/>
    </row>
    <row r="4615" spans="1:16" ht="45" hidden="1" outlineLevel="1">
      <c r="A4615" s="2">
        <v>10</v>
      </c>
      <c r="B4615" s="2">
        <v>11</v>
      </c>
      <c r="C4615" s="2">
        <v>1</v>
      </c>
      <c r="D4615" s="2">
        <f>D4613+1</f>
        <v>13</v>
      </c>
      <c r="E4615" s="20" t="str">
        <f>CONCATENATE(A4615,".",B4615,".",C4615,".",D4615)</f>
        <v>10.11.1.13</v>
      </c>
      <c r="F4615" s="21" t="s">
        <v>5095</v>
      </c>
      <c r="G4615" s="22">
        <v>89396</v>
      </c>
      <c r="H4615" s="23" t="s">
        <v>3273</v>
      </c>
      <c r="I4615" s="24" t="s">
        <v>36</v>
      </c>
      <c r="J4615" s="32"/>
      <c r="K4615" s="10"/>
      <c r="L4615" s="32"/>
      <c r="M4615" s="10"/>
      <c r="N4615" s="33"/>
      <c r="O4615" s="11">
        <f>SUM(O4616)</f>
        <v>4</v>
      </c>
      <c r="P4615" s="185"/>
    </row>
    <row r="4616" spans="1:16" hidden="1" outlineLevel="2">
      <c r="E4616" s="72"/>
      <c r="F4616" s="21"/>
      <c r="G4616" s="22"/>
      <c r="H4616" s="23"/>
      <c r="I4616" s="35"/>
      <c r="J4616" s="41"/>
      <c r="K4616" s="10"/>
      <c r="L4616" s="32"/>
      <c r="M4616" s="10"/>
      <c r="N4616" s="33">
        <v>4</v>
      </c>
      <c r="O4616" s="31">
        <f>ROUND(PRODUCT(J4616:N4616),2)</f>
        <v>4</v>
      </c>
      <c r="P4616" s="185"/>
    </row>
    <row r="4617" spans="1:16" ht="30" hidden="1" outlineLevel="1">
      <c r="A4617" s="2">
        <v>10</v>
      </c>
      <c r="B4617" s="2">
        <v>11</v>
      </c>
      <c r="C4617" s="2">
        <v>1</v>
      </c>
      <c r="D4617" s="2">
        <f>D4615+1</f>
        <v>14</v>
      </c>
      <c r="E4617" s="20" t="str">
        <f>CONCATENATE(A4617,".",B4617,".",C4617,".",D4617)</f>
        <v>10.11.1.14</v>
      </c>
      <c r="F4617" s="21" t="s">
        <v>5096</v>
      </c>
      <c r="G4617" s="22">
        <v>105189</v>
      </c>
      <c r="H4617" s="23" t="s">
        <v>1821</v>
      </c>
      <c r="I4617" s="24" t="s">
        <v>36</v>
      </c>
      <c r="J4617" s="32"/>
      <c r="K4617" s="10"/>
      <c r="L4617" s="32"/>
      <c r="M4617" s="10"/>
      <c r="N4617" s="33"/>
      <c r="O4617" s="11">
        <f>SUM(O4618)</f>
        <v>2</v>
      </c>
      <c r="P4617" s="185"/>
    </row>
    <row r="4618" spans="1:16" hidden="1" outlineLevel="2">
      <c r="E4618" s="72"/>
      <c r="F4618" s="21"/>
      <c r="G4618" s="22"/>
      <c r="H4618" s="23"/>
      <c r="I4618" s="35"/>
      <c r="J4618" s="41"/>
      <c r="K4618" s="10"/>
      <c r="L4618" s="32"/>
      <c r="M4618" s="10"/>
      <c r="N4618" s="33">
        <v>2</v>
      </c>
      <c r="O4618" s="31">
        <f>ROUND(PRODUCT(J4618:N4618),2)</f>
        <v>2</v>
      </c>
      <c r="P4618" s="185"/>
    </row>
    <row r="4619" spans="1:16" ht="30" hidden="1" outlineLevel="1">
      <c r="A4619" s="2">
        <v>10</v>
      </c>
      <c r="B4619" s="2">
        <v>11</v>
      </c>
      <c r="C4619" s="2">
        <v>1</v>
      </c>
      <c r="D4619" s="2">
        <f>D4617+1</f>
        <v>15</v>
      </c>
      <c r="E4619" s="20" t="str">
        <f>CONCATENATE(A4619,".",B4619,".",C4619,".",D4619)</f>
        <v>10.11.1.15</v>
      </c>
      <c r="F4619" s="21" t="s">
        <v>5097</v>
      </c>
      <c r="G4619" s="22">
        <v>94692</v>
      </c>
      <c r="H4619" s="23" t="s">
        <v>1516</v>
      </c>
      <c r="I4619" s="24" t="s">
        <v>36</v>
      </c>
      <c r="J4619" s="32"/>
      <c r="K4619" s="10"/>
      <c r="L4619" s="32"/>
      <c r="M4619" s="10"/>
      <c r="N4619" s="33"/>
      <c r="O4619" s="11">
        <f>SUM(O4620)</f>
        <v>1</v>
      </c>
      <c r="P4619" s="185"/>
    </row>
    <row r="4620" spans="1:16" hidden="1" outlineLevel="2">
      <c r="E4620" s="72"/>
      <c r="F4620" s="21"/>
      <c r="G4620" s="22"/>
      <c r="H4620" s="23"/>
      <c r="I4620" s="35"/>
      <c r="J4620" s="41"/>
      <c r="K4620" s="10"/>
      <c r="L4620" s="32"/>
      <c r="M4620" s="10"/>
      <c r="N4620" s="33">
        <v>1</v>
      </c>
      <c r="O4620" s="31">
        <f>ROUND(PRODUCT(J4620:N4620),2)</f>
        <v>1</v>
      </c>
      <c r="P4620" s="185"/>
    </row>
    <row r="4621" spans="1:16" ht="30" hidden="1" outlineLevel="1">
      <c r="A4621" s="2">
        <v>10</v>
      </c>
      <c r="B4621" s="2">
        <v>11</v>
      </c>
      <c r="C4621" s="2">
        <v>1</v>
      </c>
      <c r="D4621" s="2">
        <f>D4619+1</f>
        <v>16</v>
      </c>
      <c r="E4621" s="20" t="str">
        <f>CONCATENATE(A4621,".",B4621,".",C4621,".",D4621)</f>
        <v>10.11.1.16</v>
      </c>
      <c r="F4621" s="21" t="s">
        <v>5098</v>
      </c>
      <c r="G4621" s="22">
        <v>89398</v>
      </c>
      <c r="H4621" s="23" t="s">
        <v>1106</v>
      </c>
      <c r="I4621" s="24" t="s">
        <v>36</v>
      </c>
      <c r="J4621" s="32"/>
      <c r="K4621" s="10"/>
      <c r="L4621" s="32"/>
      <c r="M4621" s="10"/>
      <c r="N4621" s="33"/>
      <c r="O4621" s="11">
        <f>SUM(O4622)</f>
        <v>1</v>
      </c>
      <c r="P4621" s="185"/>
    </row>
    <row r="4622" spans="1:16" hidden="1" outlineLevel="2">
      <c r="E4622" s="72"/>
      <c r="F4622" s="21"/>
      <c r="G4622" s="22"/>
      <c r="H4622" s="23"/>
      <c r="I4622" s="35"/>
      <c r="J4622" s="41"/>
      <c r="K4622" s="10"/>
      <c r="L4622" s="32"/>
      <c r="M4622" s="10"/>
      <c r="N4622" s="33">
        <v>1</v>
      </c>
      <c r="O4622" s="31">
        <f>ROUND(PRODUCT(J4622:N4622),2)</f>
        <v>1</v>
      </c>
      <c r="P4622" s="185"/>
    </row>
    <row r="4623" spans="1:16" ht="30" hidden="1" outlineLevel="1">
      <c r="A4623" s="2">
        <v>10</v>
      </c>
      <c r="B4623" s="2">
        <v>11</v>
      </c>
      <c r="C4623" s="2">
        <v>1</v>
      </c>
      <c r="D4623" s="2">
        <f>D4621+1</f>
        <v>17</v>
      </c>
      <c r="E4623" s="20" t="str">
        <f>CONCATENATE(A4623,".",B4623,".",C4623,".",D4623)</f>
        <v>10.11.1.17</v>
      </c>
      <c r="F4623" s="21" t="s">
        <v>5099</v>
      </c>
      <c r="G4623" s="22">
        <v>89395</v>
      </c>
      <c r="H4623" s="23" t="s">
        <v>741</v>
      </c>
      <c r="I4623" s="24" t="s">
        <v>36</v>
      </c>
      <c r="J4623" s="32"/>
      <c r="K4623" s="10"/>
      <c r="L4623" s="32"/>
      <c r="M4623" s="10"/>
      <c r="N4623" s="33"/>
      <c r="O4623" s="11">
        <f>SUM(O4624)</f>
        <v>13</v>
      </c>
      <c r="P4623" s="185"/>
    </row>
    <row r="4624" spans="1:16" hidden="1" outlineLevel="2">
      <c r="E4624" s="72"/>
      <c r="F4624" s="21"/>
      <c r="G4624" s="22"/>
      <c r="H4624" s="23"/>
      <c r="I4624" s="35"/>
      <c r="J4624" s="41"/>
      <c r="K4624" s="10"/>
      <c r="L4624" s="32"/>
      <c r="M4624" s="10"/>
      <c r="N4624" s="33">
        <v>13</v>
      </c>
      <c r="O4624" s="31">
        <f>ROUND(PRODUCT(J4624:N4624),2)</f>
        <v>13</v>
      </c>
      <c r="P4624" s="185"/>
    </row>
    <row r="4625" spans="1:16" ht="30" hidden="1" outlineLevel="1">
      <c r="A4625" s="2">
        <v>10</v>
      </c>
      <c r="B4625" s="2">
        <v>11</v>
      </c>
      <c r="C4625" s="2">
        <v>1</v>
      </c>
      <c r="D4625" s="2">
        <f>D4623+1</f>
        <v>18</v>
      </c>
      <c r="E4625" s="20" t="str">
        <f>CONCATENATE(A4625,".",B4625,".",C4625,".",D4625)</f>
        <v>10.11.1.18</v>
      </c>
      <c r="F4625" s="21" t="s">
        <v>5100</v>
      </c>
      <c r="G4625" s="22">
        <v>94694</v>
      </c>
      <c r="H4625" s="23" t="s">
        <v>1513</v>
      </c>
      <c r="I4625" s="24" t="s">
        <v>36</v>
      </c>
      <c r="J4625" s="32"/>
      <c r="K4625" s="10"/>
      <c r="L4625" s="32"/>
      <c r="M4625" s="10"/>
      <c r="N4625" s="33"/>
      <c r="O4625" s="11">
        <f>SUM(O4626)</f>
        <v>1</v>
      </c>
      <c r="P4625" s="185"/>
    </row>
    <row r="4626" spans="1:16" hidden="1" outlineLevel="2">
      <c r="E4626" s="72"/>
      <c r="F4626" s="21"/>
      <c r="G4626" s="22"/>
      <c r="H4626" s="23"/>
      <c r="I4626" s="35"/>
      <c r="J4626" s="41"/>
      <c r="K4626" s="10"/>
      <c r="L4626" s="32"/>
      <c r="M4626" s="10"/>
      <c r="N4626" s="33">
        <v>1</v>
      </c>
      <c r="O4626" s="31">
        <f>ROUND(PRODUCT(J4626:N4626),2)</f>
        <v>1</v>
      </c>
      <c r="P4626" s="185"/>
    </row>
    <row r="4627" spans="1:16" ht="45" hidden="1" outlineLevel="1">
      <c r="A4627" s="2">
        <v>10</v>
      </c>
      <c r="B4627" s="2">
        <v>11</v>
      </c>
      <c r="C4627" s="2">
        <v>1</v>
      </c>
      <c r="D4627" s="2">
        <f>D4625+1</f>
        <v>19</v>
      </c>
      <c r="E4627" s="20" t="str">
        <f>CONCATENATE(A4627,".",B4627,".",C4627,".",D4627)</f>
        <v>10.11.1.19</v>
      </c>
      <c r="F4627" s="21" t="s">
        <v>5101</v>
      </c>
      <c r="G4627" s="22">
        <v>90374</v>
      </c>
      <c r="H4627" s="23" t="s">
        <v>3275</v>
      </c>
      <c r="I4627" s="24" t="s">
        <v>36</v>
      </c>
      <c r="J4627" s="32"/>
      <c r="K4627" s="10"/>
      <c r="L4627" s="32"/>
      <c r="M4627" s="10"/>
      <c r="N4627" s="33"/>
      <c r="O4627" s="11">
        <f>SUM(O4628)</f>
        <v>10</v>
      </c>
      <c r="P4627" s="185"/>
    </row>
    <row r="4628" spans="1:16" hidden="1" outlineLevel="2">
      <c r="E4628" s="72"/>
      <c r="F4628" s="21"/>
      <c r="G4628" s="34"/>
      <c r="H4628" s="30"/>
      <c r="I4628" s="35"/>
      <c r="J4628" s="41"/>
      <c r="K4628" s="10"/>
      <c r="L4628" s="32"/>
      <c r="M4628" s="10"/>
      <c r="N4628" s="33">
        <v>10</v>
      </c>
      <c r="O4628" s="31">
        <f>ROUND(PRODUCT(J4628:N4628),2)</f>
        <v>10</v>
      </c>
      <c r="P4628" s="185"/>
    </row>
    <row r="4629" spans="1:16" ht="30" hidden="1" outlineLevel="1">
      <c r="A4629" s="2">
        <v>10</v>
      </c>
      <c r="B4629" s="2">
        <v>11</v>
      </c>
      <c r="C4629" s="2">
        <v>1</v>
      </c>
      <c r="D4629" s="2">
        <f>D4627+1</f>
        <v>20</v>
      </c>
      <c r="E4629" s="20" t="str">
        <f>CONCATENATE(A4629,".",B4629,".",C4629,".",D4629)</f>
        <v>10.11.1.20</v>
      </c>
      <c r="F4629" s="21" t="s">
        <v>5102</v>
      </c>
      <c r="G4629" s="22">
        <v>89353</v>
      </c>
      <c r="H4629" s="23" t="s">
        <v>750</v>
      </c>
      <c r="I4629" s="24"/>
      <c r="J4629" s="32"/>
      <c r="K4629" s="10"/>
      <c r="L4629" s="32"/>
      <c r="M4629" s="10"/>
      <c r="N4629" s="33"/>
      <c r="O4629" s="11">
        <f>SUM(O4630)</f>
        <v>7</v>
      </c>
      <c r="P4629" s="185"/>
    </row>
    <row r="4630" spans="1:16" hidden="1" outlineLevel="2">
      <c r="E4630" s="72"/>
      <c r="F4630" s="21"/>
      <c r="G4630" s="22"/>
      <c r="H4630" s="23"/>
      <c r="I4630" s="35"/>
      <c r="J4630" s="41"/>
      <c r="K4630" s="10"/>
      <c r="L4630" s="32"/>
      <c r="M4630" s="10"/>
      <c r="N4630" s="33">
        <v>7</v>
      </c>
      <c r="O4630" s="31">
        <f>ROUND(PRODUCT(J4630:N4630),2)</f>
        <v>7</v>
      </c>
      <c r="P4630" s="185"/>
    </row>
    <row r="4631" spans="1:16" ht="30" hidden="1" outlineLevel="1">
      <c r="A4631" s="2">
        <v>10</v>
      </c>
      <c r="B4631" s="2">
        <v>11</v>
      </c>
      <c r="C4631" s="2">
        <v>1</v>
      </c>
      <c r="D4631" s="2">
        <f>D4629+1</f>
        <v>21</v>
      </c>
      <c r="E4631" s="20" t="str">
        <f>CONCATENATE(A4631,".",B4631,".",C4631,".",D4631)</f>
        <v>10.11.1.21</v>
      </c>
      <c r="F4631" s="21" t="s">
        <v>5103</v>
      </c>
      <c r="G4631" s="22">
        <v>94796</v>
      </c>
      <c r="H4631" s="23" t="s">
        <v>5104</v>
      </c>
      <c r="I4631" s="24" t="s">
        <v>36</v>
      </c>
      <c r="J4631" s="32"/>
      <c r="K4631" s="10"/>
      <c r="L4631" s="32"/>
      <c r="M4631" s="10"/>
      <c r="N4631" s="33"/>
      <c r="O4631" s="11">
        <f>SUM(O4632)</f>
        <v>2</v>
      </c>
      <c r="P4631" s="185"/>
    </row>
    <row r="4632" spans="1:16" hidden="1" outlineLevel="2">
      <c r="E4632" s="72"/>
      <c r="F4632" s="21"/>
      <c r="G4632" s="22"/>
      <c r="H4632" s="23"/>
      <c r="I4632" s="35"/>
      <c r="J4632" s="41"/>
      <c r="K4632" s="10"/>
      <c r="L4632" s="32"/>
      <c r="M4632" s="10"/>
      <c r="N4632" s="33">
        <v>2</v>
      </c>
      <c r="O4632" s="31">
        <f>ROUND(PRODUCT(J4632:N4632),2)</f>
        <v>2</v>
      </c>
      <c r="P4632" s="185"/>
    </row>
    <row r="4633" spans="1:16" ht="30" hidden="1" outlineLevel="1">
      <c r="A4633" s="2">
        <v>10</v>
      </c>
      <c r="B4633" s="2">
        <v>11</v>
      </c>
      <c r="C4633" s="2">
        <v>1</v>
      </c>
      <c r="D4633" s="2">
        <f>D4631+1</f>
        <v>22</v>
      </c>
      <c r="E4633" s="20" t="str">
        <f>CONCATENATE(A4633,".",B4633,".",C4633,".",D4633)</f>
        <v>10.11.1.22</v>
      </c>
      <c r="F4633" s="21" t="s">
        <v>5105</v>
      </c>
      <c r="G4633" s="22">
        <v>103045</v>
      </c>
      <c r="H4633" s="23" t="s">
        <v>1111</v>
      </c>
      <c r="I4633" s="24" t="s">
        <v>36</v>
      </c>
      <c r="J4633" s="32"/>
      <c r="K4633" s="10"/>
      <c r="L4633" s="32"/>
      <c r="M4633" s="10"/>
      <c r="N4633" s="33"/>
      <c r="O4633" s="11">
        <f>SUM(O4634)</f>
        <v>8</v>
      </c>
      <c r="P4633" s="185"/>
    </row>
    <row r="4634" spans="1:16" hidden="1" outlineLevel="2">
      <c r="E4634" s="72"/>
      <c r="F4634" s="21"/>
      <c r="G4634" s="22"/>
      <c r="H4634" s="23"/>
      <c r="I4634" s="35"/>
      <c r="J4634" s="41"/>
      <c r="K4634" s="10"/>
      <c r="L4634" s="32"/>
      <c r="M4634" s="10"/>
      <c r="N4634" s="33">
        <v>8</v>
      </c>
      <c r="O4634" s="31">
        <f>ROUND(PRODUCT(J4634:N4634),2)</f>
        <v>8</v>
      </c>
      <c r="P4634" s="185"/>
    </row>
    <row r="4635" spans="1:16" ht="30" hidden="1" outlineLevel="1">
      <c r="A4635" s="2">
        <v>10</v>
      </c>
      <c r="B4635" s="2">
        <v>11</v>
      </c>
      <c r="C4635" s="2">
        <v>1</v>
      </c>
      <c r="D4635" s="2">
        <f>D4633+1</f>
        <v>23</v>
      </c>
      <c r="E4635" s="20" t="str">
        <f>CONCATENATE(A4635,".",B4635,".",C4635,".",D4635)</f>
        <v>10.11.1.23</v>
      </c>
      <c r="F4635" s="21" t="s">
        <v>5106</v>
      </c>
      <c r="G4635" s="22">
        <v>102607</v>
      </c>
      <c r="H4635" s="23" t="s">
        <v>5107</v>
      </c>
      <c r="I4635" s="24" t="s">
        <v>36</v>
      </c>
      <c r="J4635" s="32"/>
      <c r="K4635" s="10"/>
      <c r="L4635" s="32"/>
      <c r="M4635" s="10"/>
      <c r="N4635" s="33"/>
      <c r="O4635" s="11">
        <f>SUM(O4636)</f>
        <v>2</v>
      </c>
      <c r="P4635" s="185"/>
    </row>
    <row r="4636" spans="1:16" hidden="1" outlineLevel="2">
      <c r="E4636" s="72"/>
      <c r="F4636" s="21"/>
      <c r="G4636" s="22"/>
      <c r="H4636" s="23"/>
      <c r="I4636" s="35"/>
      <c r="J4636" s="41"/>
      <c r="K4636" s="10"/>
      <c r="L4636" s="32"/>
      <c r="M4636" s="10"/>
      <c r="N4636" s="33">
        <v>2</v>
      </c>
      <c r="O4636" s="31">
        <f>ROUND(PRODUCT(J4636:N4636),2)</f>
        <v>2</v>
      </c>
      <c r="P4636" s="185"/>
    </row>
    <row r="4637" spans="1:16" ht="30" hidden="1" outlineLevel="1">
      <c r="A4637" s="2">
        <v>10</v>
      </c>
      <c r="B4637" s="2">
        <v>11</v>
      </c>
      <c r="C4637" s="2">
        <v>1</v>
      </c>
      <c r="D4637" s="2">
        <f>D4635+1</f>
        <v>24</v>
      </c>
      <c r="E4637" s="20" t="str">
        <f>CONCATENATE(A4637,".",B4637,".",C4637,".",D4637)</f>
        <v>10.11.1.24</v>
      </c>
      <c r="F4637" s="21" t="s">
        <v>5108</v>
      </c>
      <c r="G4637" s="22">
        <v>89449</v>
      </c>
      <c r="H4637" s="23" t="s">
        <v>5109</v>
      </c>
      <c r="I4637" s="24" t="s">
        <v>144</v>
      </c>
      <c r="J4637" s="32"/>
      <c r="K4637" s="10"/>
      <c r="L4637" s="32"/>
      <c r="M4637" s="10"/>
      <c r="N4637" s="33"/>
      <c r="O4637" s="11">
        <f>SUM(O4638)</f>
        <v>8.49</v>
      </c>
      <c r="P4637" s="185"/>
    </row>
    <row r="4638" spans="1:16" hidden="1" outlineLevel="2">
      <c r="E4638" s="72"/>
      <c r="F4638" s="21"/>
      <c r="G4638" s="22"/>
      <c r="H4638" s="23"/>
      <c r="I4638" s="35"/>
      <c r="J4638" s="41"/>
      <c r="K4638" s="10"/>
      <c r="L4638" s="32"/>
      <c r="M4638" s="10"/>
      <c r="N4638" s="33">
        <v>8.49</v>
      </c>
      <c r="O4638" s="31">
        <f>ROUND(PRODUCT(J4638:N4638),2)</f>
        <v>8.49</v>
      </c>
      <c r="P4638" s="185"/>
    </row>
    <row r="4639" spans="1:16" ht="30" hidden="1" outlineLevel="1">
      <c r="A4639" s="2">
        <v>10</v>
      </c>
      <c r="B4639" s="2">
        <v>11</v>
      </c>
      <c r="C4639" s="2">
        <v>1</v>
      </c>
      <c r="D4639" s="2">
        <f>D4637+1</f>
        <v>25</v>
      </c>
      <c r="E4639" s="20" t="str">
        <f>CONCATENATE(A4639,".",B4639,".",C4639,".",D4639)</f>
        <v>10.11.1.25</v>
      </c>
      <c r="F4639" s="21" t="s">
        <v>5110</v>
      </c>
      <c r="G4639" s="22">
        <v>104315</v>
      </c>
      <c r="H4639" s="23" t="s">
        <v>1840</v>
      </c>
      <c r="I4639" s="24" t="s">
        <v>144</v>
      </c>
      <c r="J4639" s="32"/>
      <c r="K4639" s="10"/>
      <c r="L4639" s="32"/>
      <c r="M4639" s="10"/>
      <c r="N4639" s="33"/>
      <c r="O4639" s="11">
        <f>SUM(O4640)</f>
        <v>12.1</v>
      </c>
      <c r="P4639" s="185"/>
    </row>
    <row r="4640" spans="1:16" hidden="1" outlineLevel="2">
      <c r="E4640" s="72"/>
      <c r="F4640" s="21"/>
      <c r="G4640" s="22"/>
      <c r="H4640" s="23"/>
      <c r="I4640" s="35"/>
      <c r="J4640" s="41"/>
      <c r="K4640" s="10"/>
      <c r="L4640" s="32"/>
      <c r="M4640" s="10"/>
      <c r="N4640" s="33">
        <v>12.1</v>
      </c>
      <c r="O4640" s="31">
        <f>ROUND(PRODUCT(J4640:N4640),2)</f>
        <v>12.1</v>
      </c>
      <c r="P4640" s="185"/>
    </row>
    <row r="4641" spans="1:17" ht="30" hidden="1" outlineLevel="1">
      <c r="A4641" s="2">
        <v>10</v>
      </c>
      <c r="B4641" s="2">
        <v>11</v>
      </c>
      <c r="C4641" s="2">
        <v>1</v>
      </c>
      <c r="D4641" s="2">
        <f>D4639+1</f>
        <v>26</v>
      </c>
      <c r="E4641" s="20" t="str">
        <f>CONCATENATE(A4641,".",B4641,".",C4641,".",D4641)</f>
        <v>10.11.1.26</v>
      </c>
      <c r="F4641" s="21" t="s">
        <v>5111</v>
      </c>
      <c r="G4641" s="22">
        <v>94648</v>
      </c>
      <c r="H4641" s="23" t="s">
        <v>5112</v>
      </c>
      <c r="I4641" s="24" t="s">
        <v>144</v>
      </c>
      <c r="J4641" s="32"/>
      <c r="K4641" s="10"/>
      <c r="L4641" s="32"/>
      <c r="M4641" s="10"/>
      <c r="N4641" s="33"/>
      <c r="O4641" s="11">
        <f>SUM(O4642)</f>
        <v>71.37</v>
      </c>
      <c r="P4641" s="185"/>
    </row>
    <row r="4642" spans="1:17" hidden="1" outlineLevel="2">
      <c r="E4642" s="72"/>
      <c r="F4642" s="21"/>
      <c r="G4642" s="22"/>
      <c r="H4642" s="23"/>
      <c r="I4642" s="35"/>
      <c r="J4642" s="41"/>
      <c r="K4642" s="10"/>
      <c r="L4642" s="32"/>
      <c r="M4642" s="10"/>
      <c r="N4642" s="33">
        <v>71.37</v>
      </c>
      <c r="O4642" s="31">
        <f>ROUND(PRODUCT(J4642:N4642),2)</f>
        <v>71.37</v>
      </c>
      <c r="P4642" s="185"/>
    </row>
    <row r="4643" spans="1:17" ht="30" hidden="1" outlineLevel="1">
      <c r="A4643" s="2">
        <v>10</v>
      </c>
      <c r="B4643" s="2">
        <v>11</v>
      </c>
      <c r="C4643" s="2">
        <v>1</v>
      </c>
      <c r="D4643" s="2">
        <f>D4641+1</f>
        <v>27</v>
      </c>
      <c r="E4643" s="20" t="str">
        <f>CONCATENATE(A4643,".",B4643,".",C4643,".",D4643)</f>
        <v>10.11.1.27</v>
      </c>
      <c r="F4643" s="21" t="s">
        <v>5113</v>
      </c>
      <c r="G4643" s="22">
        <v>89447</v>
      </c>
      <c r="H4643" s="23" t="s">
        <v>1846</v>
      </c>
      <c r="I4643" s="24" t="s">
        <v>144</v>
      </c>
      <c r="J4643" s="32"/>
      <c r="K4643" s="10"/>
      <c r="L4643" s="32"/>
      <c r="M4643" s="10"/>
      <c r="N4643" s="33"/>
      <c r="O4643" s="11">
        <f>SUM(O4644)</f>
        <v>12.7</v>
      </c>
      <c r="P4643" s="185"/>
    </row>
    <row r="4644" spans="1:17" hidden="1" outlineLevel="2">
      <c r="E4644" s="72"/>
      <c r="F4644" s="21"/>
      <c r="G4644" s="22"/>
      <c r="H4644" s="23"/>
      <c r="I4644" s="35"/>
      <c r="J4644" s="41"/>
      <c r="K4644" s="10"/>
      <c r="L4644" s="32"/>
      <c r="M4644" s="10"/>
      <c r="N4644" s="33">
        <v>12.7</v>
      </c>
      <c r="O4644" s="31">
        <f>ROUND(PRODUCT(J4644:N4644),2)</f>
        <v>12.7</v>
      </c>
      <c r="P4644" s="185"/>
    </row>
    <row r="4645" spans="1:17" ht="30" hidden="1" outlineLevel="1">
      <c r="A4645" s="2">
        <v>10</v>
      </c>
      <c r="B4645" s="2">
        <v>11</v>
      </c>
      <c r="C4645" s="2">
        <v>1</v>
      </c>
      <c r="D4645" s="2">
        <f>D4643+1</f>
        <v>28</v>
      </c>
      <c r="E4645" s="20" t="str">
        <f>CONCATENATE(A4645,".",B4645,".",C4645,".",D4645)</f>
        <v>10.11.1.28</v>
      </c>
      <c r="F4645" s="21" t="s">
        <v>5114</v>
      </c>
      <c r="G4645" s="22">
        <v>89448</v>
      </c>
      <c r="H4645" s="23" t="s">
        <v>1849</v>
      </c>
      <c r="I4645" s="24" t="s">
        <v>144</v>
      </c>
      <c r="J4645" s="32"/>
      <c r="K4645" s="10"/>
      <c r="L4645" s="32"/>
      <c r="M4645" s="10"/>
      <c r="N4645" s="33"/>
      <c r="O4645" s="11">
        <f>SUM(O4646)</f>
        <v>12.82</v>
      </c>
      <c r="P4645" s="185"/>
    </row>
    <row r="4646" spans="1:17" hidden="1" outlineLevel="2">
      <c r="E4646" s="72"/>
      <c r="F4646" s="21"/>
      <c r="G4646" s="22"/>
      <c r="H4646" s="23"/>
      <c r="I4646" s="35"/>
      <c r="J4646" s="41"/>
      <c r="K4646" s="10"/>
      <c r="L4646" s="32"/>
      <c r="M4646" s="10"/>
      <c r="N4646" s="33">
        <v>12.82</v>
      </c>
      <c r="O4646" s="31">
        <f>ROUND(PRODUCT(J4646:N4646),2)</f>
        <v>12.82</v>
      </c>
      <c r="P4646" s="185"/>
    </row>
    <row r="4647" spans="1:17" collapsed="1">
      <c r="A4647" s="2">
        <v>10</v>
      </c>
      <c r="B4647" s="2">
        <v>11</v>
      </c>
      <c r="C4647" s="2">
        <v>2</v>
      </c>
      <c r="E4647" s="42" t="str">
        <f>CONCATENATE(A4647,".",B4647,".",C4647)</f>
        <v>10.11.2</v>
      </c>
      <c r="F4647" s="45" t="s">
        <v>5023</v>
      </c>
      <c r="G4647" s="13"/>
      <c r="H4647" s="14" t="s">
        <v>752</v>
      </c>
      <c r="I4647" s="15"/>
      <c r="J4647" s="16"/>
      <c r="K4647" s="17"/>
      <c r="L4647" s="16"/>
      <c r="M4647" s="17"/>
      <c r="N4647" s="18"/>
      <c r="O4647" s="19"/>
      <c r="P4647" s="185"/>
      <c r="Q4647" s="185"/>
    </row>
    <row r="4648" spans="1:17" ht="30" hidden="1" outlineLevel="1">
      <c r="A4648" s="2">
        <v>10</v>
      </c>
      <c r="B4648" s="2">
        <v>11</v>
      </c>
      <c r="C4648" s="2">
        <v>2</v>
      </c>
      <c r="D4648" s="2" t="e">
        <f>#REF!+1</f>
        <v>#REF!</v>
      </c>
      <c r="E4648" s="20" t="e">
        <f>CONCATENATE(A4648,".",B4648,".",C4648,".",D4648)</f>
        <v>#REF!</v>
      </c>
      <c r="F4648" s="21" t="s">
        <v>5115</v>
      </c>
      <c r="G4648" s="22">
        <v>89711</v>
      </c>
      <c r="H4648" s="23" t="s">
        <v>755</v>
      </c>
      <c r="I4648" s="24" t="s">
        <v>144</v>
      </c>
      <c r="J4648" s="32"/>
      <c r="K4648" s="10"/>
      <c r="L4648" s="32"/>
      <c r="M4648" s="10"/>
      <c r="N4648" s="33"/>
      <c r="O4648" s="11">
        <f>SUM(O4649)</f>
        <v>22.6</v>
      </c>
      <c r="P4648" s="185"/>
    </row>
    <row r="4649" spans="1:17" hidden="1" outlineLevel="2">
      <c r="E4649" s="72"/>
      <c r="F4649" s="21"/>
      <c r="G4649" s="22"/>
      <c r="H4649" s="23"/>
      <c r="I4649" s="35"/>
      <c r="J4649" s="41"/>
      <c r="K4649" s="10"/>
      <c r="L4649" s="32"/>
      <c r="M4649" s="10"/>
      <c r="N4649" s="33">
        <v>22.6</v>
      </c>
      <c r="O4649" s="31">
        <f>ROUND(PRODUCT(J4649:N4649),2)</f>
        <v>22.6</v>
      </c>
      <c r="P4649" s="185"/>
    </row>
    <row r="4650" spans="1:17" ht="45" hidden="1" outlineLevel="1">
      <c r="A4650" s="2">
        <v>10</v>
      </c>
      <c r="B4650" s="2">
        <v>11</v>
      </c>
      <c r="C4650" s="2">
        <v>2</v>
      </c>
      <c r="D4650" s="2" t="e">
        <f>D4648+1</f>
        <v>#REF!</v>
      </c>
      <c r="E4650" s="20" t="e">
        <f>CONCATENATE(A4650,".",B4650,".",C4650,".",D4650)</f>
        <v>#REF!</v>
      </c>
      <c r="F4650" s="21" t="s">
        <v>5116</v>
      </c>
      <c r="G4650" s="22">
        <v>89724</v>
      </c>
      <c r="H4650" s="23" t="s">
        <v>812</v>
      </c>
      <c r="I4650" s="24" t="s">
        <v>36</v>
      </c>
      <c r="J4650" s="32"/>
      <c r="K4650" s="10"/>
      <c r="L4650" s="32"/>
      <c r="M4650" s="10"/>
      <c r="N4650" s="33"/>
      <c r="O4650" s="11">
        <f>SUM(O4651)</f>
        <v>35</v>
      </c>
      <c r="P4650" s="185"/>
    </row>
    <row r="4651" spans="1:17" hidden="1" outlineLevel="2">
      <c r="E4651" s="72"/>
      <c r="F4651" s="21"/>
      <c r="G4651" s="22"/>
      <c r="H4651" s="23"/>
      <c r="I4651" s="35"/>
      <c r="J4651" s="41"/>
      <c r="K4651" s="10"/>
      <c r="L4651" s="32"/>
      <c r="M4651" s="10"/>
      <c r="N4651" s="33">
        <v>35</v>
      </c>
      <c r="O4651" s="31">
        <f>ROUND(PRODUCT(J4651:N4651),2)</f>
        <v>35</v>
      </c>
      <c r="P4651" s="185"/>
    </row>
    <row r="4652" spans="1:17" ht="30" hidden="1" outlineLevel="1">
      <c r="A4652" s="2">
        <v>10</v>
      </c>
      <c r="B4652" s="2">
        <v>11</v>
      </c>
      <c r="C4652" s="2">
        <v>2</v>
      </c>
      <c r="D4652" s="2" t="e">
        <f>D4650+1</f>
        <v>#REF!</v>
      </c>
      <c r="E4652" s="20" t="e">
        <f>CONCATENATE(A4652,".",B4652,".",C4652,".",D4652)</f>
        <v>#REF!</v>
      </c>
      <c r="F4652" s="21" t="s">
        <v>5117</v>
      </c>
      <c r="G4652" s="22">
        <v>2358</v>
      </c>
      <c r="H4652" s="23" t="s">
        <v>824</v>
      </c>
      <c r="I4652" s="24" t="s">
        <v>36</v>
      </c>
      <c r="J4652" s="32"/>
      <c r="K4652" s="10"/>
      <c r="L4652" s="32"/>
      <c r="M4652" s="10"/>
      <c r="N4652" s="33"/>
      <c r="O4652" s="11">
        <f>SUM(O4653)</f>
        <v>1</v>
      </c>
      <c r="P4652" s="185"/>
    </row>
    <row r="4653" spans="1:17" hidden="1" outlineLevel="2">
      <c r="E4653" s="72"/>
      <c r="F4653" s="21"/>
      <c r="G4653" s="22"/>
      <c r="H4653" s="23"/>
      <c r="I4653" s="35"/>
      <c r="J4653" s="41"/>
      <c r="K4653" s="10"/>
      <c r="L4653" s="32"/>
      <c r="M4653" s="10"/>
      <c r="N4653" s="33">
        <v>1</v>
      </c>
      <c r="O4653" s="31">
        <f>ROUND(PRODUCT(J4653:N4653),2)</f>
        <v>1</v>
      </c>
      <c r="P4653" s="185"/>
    </row>
    <row r="4654" spans="1:17" ht="45" hidden="1" outlineLevel="1">
      <c r="A4654" s="2">
        <v>10</v>
      </c>
      <c r="B4654" s="2">
        <v>11</v>
      </c>
      <c r="C4654" s="2">
        <v>2</v>
      </c>
      <c r="D4654" s="2" t="e">
        <f>D4652+1</f>
        <v>#REF!</v>
      </c>
      <c r="E4654" s="20" t="e">
        <f>CONCATENATE(A4654,".",B4654,".",C4654,".",D4654)</f>
        <v>#REF!</v>
      </c>
      <c r="F4654" s="21" t="s">
        <v>5118</v>
      </c>
      <c r="G4654" s="22">
        <v>1055</v>
      </c>
      <c r="H4654" s="23" t="s">
        <v>827</v>
      </c>
      <c r="I4654" s="24" t="s">
        <v>36</v>
      </c>
      <c r="J4654" s="32"/>
      <c r="K4654" s="10"/>
      <c r="L4654" s="32"/>
      <c r="M4654" s="10"/>
      <c r="N4654" s="33"/>
      <c r="O4654" s="11">
        <f>SUM(O4655)</f>
        <v>17</v>
      </c>
      <c r="P4654" s="185"/>
    </row>
    <row r="4655" spans="1:17" hidden="1" outlineLevel="2">
      <c r="E4655" s="72"/>
      <c r="F4655" s="21"/>
      <c r="G4655" s="22"/>
      <c r="H4655" s="23"/>
      <c r="I4655" s="35"/>
      <c r="J4655" s="41"/>
      <c r="K4655" s="10"/>
      <c r="L4655" s="32"/>
      <c r="M4655" s="10"/>
      <c r="N4655" s="33">
        <v>17</v>
      </c>
      <c r="O4655" s="31">
        <f>ROUND(PRODUCT(J4655:N4655),2)</f>
        <v>17</v>
      </c>
      <c r="P4655" s="185"/>
    </row>
    <row r="4656" spans="1:17" ht="45" hidden="1" outlineLevel="1">
      <c r="A4656" s="2">
        <v>10</v>
      </c>
      <c r="B4656" s="2">
        <v>11</v>
      </c>
      <c r="C4656" s="2">
        <v>2</v>
      </c>
      <c r="D4656" s="2" t="e">
        <f>D4654+1</f>
        <v>#REF!</v>
      </c>
      <c r="E4656" s="20" t="e">
        <f>CONCATENATE(A4656,".",B4656,".",C4656,".",D4656)</f>
        <v>#REF!</v>
      </c>
      <c r="F4656" s="21" t="s">
        <v>5119</v>
      </c>
      <c r="G4656" s="22">
        <v>89731</v>
      </c>
      <c r="H4656" s="23" t="s">
        <v>782</v>
      </c>
      <c r="I4656" s="24" t="s">
        <v>36</v>
      </c>
      <c r="J4656" s="32"/>
      <c r="K4656" s="10"/>
      <c r="L4656" s="32"/>
      <c r="M4656" s="10"/>
      <c r="N4656" s="33"/>
      <c r="O4656" s="11">
        <f>SUM(O4657)</f>
        <v>20</v>
      </c>
      <c r="P4656" s="185"/>
    </row>
    <row r="4657" spans="1:16" hidden="1" outlineLevel="2">
      <c r="E4657" s="72"/>
      <c r="F4657" s="21"/>
      <c r="G4657" s="22"/>
      <c r="H4657" s="23"/>
      <c r="I4657" s="35"/>
      <c r="J4657" s="41"/>
      <c r="K4657" s="10"/>
      <c r="L4657" s="32"/>
      <c r="M4657" s="10"/>
      <c r="N4657" s="33">
        <v>20</v>
      </c>
      <c r="O4657" s="31">
        <f>ROUND(PRODUCT(J4657:N4657),2)</f>
        <v>20</v>
      </c>
      <c r="P4657" s="185"/>
    </row>
    <row r="4658" spans="1:16" ht="45" hidden="1" outlineLevel="1">
      <c r="A4658" s="2">
        <v>10</v>
      </c>
      <c r="B4658" s="2">
        <v>11</v>
      </c>
      <c r="C4658" s="2">
        <v>2</v>
      </c>
      <c r="D4658" s="2" t="e">
        <f>D4656+1</f>
        <v>#REF!</v>
      </c>
      <c r="E4658" s="20" t="e">
        <f>CONCATENATE(A4658,".",B4658,".",C4658,".",D4658)</f>
        <v>#REF!</v>
      </c>
      <c r="F4658" s="21" t="s">
        <v>5120</v>
      </c>
      <c r="G4658" s="22">
        <v>89744</v>
      </c>
      <c r="H4658" s="23" t="s">
        <v>1646</v>
      </c>
      <c r="I4658" s="24" t="s">
        <v>36</v>
      </c>
      <c r="J4658" s="32"/>
      <c r="K4658" s="10"/>
      <c r="L4658" s="32"/>
      <c r="M4658" s="10"/>
      <c r="N4658" s="33"/>
      <c r="O4658" s="11">
        <f>SUM(O4659)</f>
        <v>10</v>
      </c>
      <c r="P4658" s="185"/>
    </row>
    <row r="4659" spans="1:16" hidden="1" outlineLevel="2">
      <c r="E4659" s="72"/>
      <c r="F4659" s="21"/>
      <c r="G4659" s="22"/>
      <c r="H4659" s="23"/>
      <c r="I4659" s="35"/>
      <c r="J4659" s="41"/>
      <c r="K4659" s="10"/>
      <c r="L4659" s="32"/>
      <c r="M4659" s="10"/>
      <c r="N4659" s="33">
        <v>10</v>
      </c>
      <c r="O4659" s="31">
        <f>ROUND(PRODUCT(J4659:N4659),2)</f>
        <v>10</v>
      </c>
      <c r="P4659" s="185"/>
    </row>
    <row r="4660" spans="1:16" ht="30" hidden="1" outlineLevel="1">
      <c r="A4660" s="2">
        <v>10</v>
      </c>
      <c r="B4660" s="2">
        <v>11</v>
      </c>
      <c r="C4660" s="2">
        <v>2</v>
      </c>
      <c r="D4660" s="2" t="e">
        <f>#REF!+1</f>
        <v>#REF!</v>
      </c>
      <c r="E4660" s="20" t="e">
        <f>CONCATENATE(A4660,".",B4660,".",C4660,".",D4660)</f>
        <v>#REF!</v>
      </c>
      <c r="F4660" s="21" t="s">
        <v>5121</v>
      </c>
      <c r="G4660" s="22">
        <v>102711</v>
      </c>
      <c r="H4660" s="23" t="s">
        <v>5122</v>
      </c>
      <c r="I4660" s="24" t="s">
        <v>36</v>
      </c>
      <c r="J4660" s="32"/>
      <c r="K4660" s="10"/>
      <c r="L4660" s="32"/>
      <c r="M4660" s="10"/>
      <c r="N4660" s="33"/>
      <c r="O4660" s="11">
        <f>SUM(O4661)</f>
        <v>1</v>
      </c>
      <c r="P4660" s="185"/>
    </row>
    <row r="4661" spans="1:16" hidden="1" outlineLevel="2">
      <c r="E4661" s="72"/>
      <c r="F4661" s="21"/>
      <c r="G4661" s="22"/>
      <c r="H4661" s="23"/>
      <c r="I4661" s="35"/>
      <c r="J4661" s="41"/>
      <c r="K4661" s="10"/>
      <c r="L4661" s="32"/>
      <c r="M4661" s="10"/>
      <c r="N4661" s="33">
        <v>1</v>
      </c>
      <c r="O4661" s="31">
        <f>ROUND(PRODUCT(J4661:N4661),2)</f>
        <v>1</v>
      </c>
      <c r="P4661" s="185"/>
    </row>
    <row r="4662" spans="1:16" ht="30" hidden="1" outlineLevel="1">
      <c r="A4662" s="2">
        <v>10</v>
      </c>
      <c r="B4662" s="2">
        <v>11</v>
      </c>
      <c r="C4662" s="2">
        <v>2</v>
      </c>
      <c r="D4662" s="2" t="e">
        <f>D4660+1</f>
        <v>#REF!</v>
      </c>
      <c r="E4662" s="20" t="e">
        <f>CONCATENATE(A4662,".",B4662,".",C4662,".",D4662)</f>
        <v>#REF!</v>
      </c>
      <c r="F4662" s="21" t="s">
        <v>5123</v>
      </c>
      <c r="G4662" s="22">
        <v>89574</v>
      </c>
      <c r="H4662" s="23" t="s">
        <v>1862</v>
      </c>
      <c r="I4662" s="24" t="s">
        <v>36</v>
      </c>
      <c r="J4662" s="32"/>
      <c r="K4662" s="10"/>
      <c r="L4662" s="32"/>
      <c r="M4662" s="10"/>
      <c r="N4662" s="33"/>
      <c r="O4662" s="11">
        <f>SUM(O4663)</f>
        <v>1</v>
      </c>
      <c r="P4662" s="185"/>
    </row>
    <row r="4663" spans="1:16" hidden="1" outlineLevel="2">
      <c r="E4663" s="72"/>
      <c r="F4663" s="21"/>
      <c r="G4663" s="22"/>
      <c r="H4663" s="23"/>
      <c r="I4663" s="35"/>
      <c r="J4663" s="41"/>
      <c r="K4663" s="10"/>
      <c r="L4663" s="32"/>
      <c r="M4663" s="10"/>
      <c r="N4663" s="33">
        <v>1</v>
      </c>
      <c r="O4663" s="31">
        <f>ROUND(PRODUCT(J4663:N4663),2)</f>
        <v>1</v>
      </c>
      <c r="P4663" s="185"/>
    </row>
    <row r="4664" spans="1:16" ht="45" hidden="1" outlineLevel="1">
      <c r="A4664" s="2">
        <v>10</v>
      </c>
      <c r="B4664" s="2">
        <v>11</v>
      </c>
      <c r="C4664" s="2">
        <v>2</v>
      </c>
      <c r="D4664" s="2" t="e">
        <f>D4662+1</f>
        <v>#REF!</v>
      </c>
      <c r="E4664" s="20" t="e">
        <f>CONCATENATE(A4664,".",B4664,".",C4664,".",D4664)</f>
        <v>#REF!</v>
      </c>
      <c r="F4664" s="21" t="s">
        <v>5124</v>
      </c>
      <c r="G4664" s="22">
        <v>89726</v>
      </c>
      <c r="H4664" s="23" t="s">
        <v>770</v>
      </c>
      <c r="I4664" s="24" t="s">
        <v>36</v>
      </c>
      <c r="J4664" s="32"/>
      <c r="K4664" s="10"/>
      <c r="L4664" s="32"/>
      <c r="M4664" s="10"/>
      <c r="N4664" s="33"/>
      <c r="O4664" s="11">
        <f>SUM(O4665)</f>
        <v>1</v>
      </c>
      <c r="P4664" s="185"/>
    </row>
    <row r="4665" spans="1:16" hidden="1" outlineLevel="2">
      <c r="E4665" s="72"/>
      <c r="F4665" s="21"/>
      <c r="G4665" s="22"/>
      <c r="H4665" s="23"/>
      <c r="I4665" s="35"/>
      <c r="J4665" s="41"/>
      <c r="K4665" s="10"/>
      <c r="L4665" s="32"/>
      <c r="M4665" s="10"/>
      <c r="N4665" s="33">
        <v>1</v>
      </c>
      <c r="O4665" s="31">
        <f>ROUND(PRODUCT(J4665:N4665),2)</f>
        <v>1</v>
      </c>
      <c r="P4665" s="185"/>
    </row>
    <row r="4666" spans="1:16" ht="45" hidden="1" outlineLevel="1">
      <c r="A4666" s="2">
        <v>10</v>
      </c>
      <c r="B4666" s="2">
        <v>11</v>
      </c>
      <c r="C4666" s="2">
        <v>2</v>
      </c>
      <c r="D4666" s="2" t="e">
        <f>D4664+1</f>
        <v>#REF!</v>
      </c>
      <c r="E4666" s="20" t="e">
        <f>CONCATENATE(A4666,".",B4666,".",C4666,".",D4666)</f>
        <v>#REF!</v>
      </c>
      <c r="F4666" s="21" t="s">
        <v>5125</v>
      </c>
      <c r="G4666" s="22">
        <v>89802</v>
      </c>
      <c r="H4666" s="23" t="s">
        <v>776</v>
      </c>
      <c r="I4666" s="24" t="s">
        <v>36</v>
      </c>
      <c r="J4666" s="32"/>
      <c r="K4666" s="10"/>
      <c r="L4666" s="32"/>
      <c r="M4666" s="10"/>
      <c r="N4666" s="33"/>
      <c r="O4666" s="11">
        <f>SUM(O4667)</f>
        <v>9</v>
      </c>
      <c r="P4666" s="185"/>
    </row>
    <row r="4667" spans="1:16" hidden="1" outlineLevel="2">
      <c r="E4667" s="72"/>
      <c r="F4667" s="21"/>
      <c r="G4667" s="22"/>
      <c r="H4667" s="23"/>
      <c r="I4667" s="35"/>
      <c r="J4667" s="41"/>
      <c r="K4667" s="10"/>
      <c r="L4667" s="32"/>
      <c r="M4667" s="10"/>
      <c r="N4667" s="33">
        <v>9</v>
      </c>
      <c r="O4667" s="31">
        <f>ROUND(PRODUCT(J4667:N4667),2)</f>
        <v>9</v>
      </c>
      <c r="P4667" s="185"/>
    </row>
    <row r="4668" spans="1:16" ht="30" hidden="1" outlineLevel="1">
      <c r="A4668" s="2">
        <v>10</v>
      </c>
      <c r="B4668" s="2">
        <v>11</v>
      </c>
      <c r="C4668" s="2">
        <v>2</v>
      </c>
      <c r="D4668" s="2" t="e">
        <f>D4666+1</f>
        <v>#REF!</v>
      </c>
      <c r="E4668" s="20" t="e">
        <f>CONCATENATE(A4668,".",B4668,".",C4668,".",D4668)</f>
        <v>#REF!</v>
      </c>
      <c r="F4668" s="21" t="s">
        <v>5126</v>
      </c>
      <c r="G4668" s="22">
        <v>89714</v>
      </c>
      <c r="H4668" s="23" t="s">
        <v>758</v>
      </c>
      <c r="I4668" s="24" t="s">
        <v>144</v>
      </c>
      <c r="J4668" s="32"/>
      <c r="K4668" s="10"/>
      <c r="L4668" s="32"/>
      <c r="M4668" s="10"/>
      <c r="N4668" s="33"/>
      <c r="O4668" s="11">
        <f>SUM(O4669)</f>
        <v>35.869999999999997</v>
      </c>
      <c r="P4668" s="185"/>
    </row>
    <row r="4669" spans="1:16" hidden="1" outlineLevel="2">
      <c r="E4669" s="72"/>
      <c r="F4669" s="21"/>
      <c r="G4669" s="22"/>
      <c r="H4669" s="23"/>
      <c r="I4669" s="35"/>
      <c r="J4669" s="41"/>
      <c r="K4669" s="10"/>
      <c r="L4669" s="32"/>
      <c r="M4669" s="10"/>
      <c r="N4669" s="33">
        <v>35.869999999999997</v>
      </c>
      <c r="O4669" s="31">
        <f>ROUND(PRODUCT(J4669:N4669),2)</f>
        <v>35.869999999999997</v>
      </c>
      <c r="P4669" s="185"/>
    </row>
    <row r="4670" spans="1:16" ht="30" hidden="1" outlineLevel="1">
      <c r="A4670" s="2">
        <v>10</v>
      </c>
      <c r="B4670" s="2">
        <v>11</v>
      </c>
      <c r="C4670" s="2">
        <v>2</v>
      </c>
      <c r="D4670" s="2" t="e">
        <f>D4668+1</f>
        <v>#REF!</v>
      </c>
      <c r="E4670" s="20" t="e">
        <f>CONCATENATE(A4670,".",B4670,".",C4670,".",D4670)</f>
        <v>#REF!</v>
      </c>
      <c r="F4670" s="21" t="s">
        <v>5127</v>
      </c>
      <c r="G4670" s="22">
        <v>89712</v>
      </c>
      <c r="H4670" s="23" t="s">
        <v>764</v>
      </c>
      <c r="I4670" s="24" t="s">
        <v>144</v>
      </c>
      <c r="J4670" s="32"/>
      <c r="K4670" s="10"/>
      <c r="L4670" s="32"/>
      <c r="M4670" s="10"/>
      <c r="N4670" s="33"/>
      <c r="O4670" s="11">
        <f>SUM(O4671)</f>
        <v>73.709999999999994</v>
      </c>
      <c r="P4670" s="185"/>
    </row>
    <row r="4671" spans="1:16" hidden="1" outlineLevel="2">
      <c r="E4671" s="72"/>
      <c r="F4671" s="21"/>
      <c r="G4671" s="22"/>
      <c r="H4671" s="23"/>
      <c r="I4671" s="35"/>
      <c r="J4671" s="41"/>
      <c r="K4671" s="10"/>
      <c r="L4671" s="32"/>
      <c r="M4671" s="10"/>
      <c r="N4671" s="33">
        <v>73.709999999999994</v>
      </c>
      <c r="O4671" s="31">
        <f>ROUND(PRODUCT(J4671:N4671),2)</f>
        <v>73.709999999999994</v>
      </c>
      <c r="P4671" s="185"/>
    </row>
    <row r="4672" spans="1:16" ht="45" hidden="1" outlineLevel="1">
      <c r="A4672" s="2">
        <v>10</v>
      </c>
      <c r="B4672" s="2">
        <v>11</v>
      </c>
      <c r="C4672" s="2">
        <v>2</v>
      </c>
      <c r="D4672" s="2" t="e">
        <f>D4670+1</f>
        <v>#REF!</v>
      </c>
      <c r="E4672" s="20" t="e">
        <f>CONCATENATE(A4672,".",B4672,".",C4672,".",D4672)</f>
        <v>#REF!</v>
      </c>
      <c r="F4672" s="21" t="s">
        <v>5128</v>
      </c>
      <c r="G4672" s="22">
        <v>1361</v>
      </c>
      <c r="H4672" s="23" t="s">
        <v>5129</v>
      </c>
      <c r="I4672" s="24" t="s">
        <v>144</v>
      </c>
      <c r="J4672" s="32"/>
      <c r="K4672" s="10"/>
      <c r="L4672" s="32"/>
      <c r="M4672" s="10"/>
      <c r="N4672" s="33"/>
      <c r="O4672" s="11">
        <f>SUM(O4673)</f>
        <v>12</v>
      </c>
      <c r="P4672" s="185"/>
    </row>
    <row r="4673" spans="1:17" hidden="1" outlineLevel="2">
      <c r="E4673" s="72"/>
      <c r="F4673" s="21"/>
      <c r="G4673" s="22"/>
      <c r="H4673" s="23"/>
      <c r="I4673" s="35"/>
      <c r="J4673" s="41"/>
      <c r="K4673" s="10"/>
      <c r="L4673" s="32"/>
      <c r="M4673" s="10"/>
      <c r="N4673" s="33">
        <v>12</v>
      </c>
      <c r="O4673" s="31">
        <f>ROUND(PRODUCT(J4673:N4673),2)</f>
        <v>12</v>
      </c>
      <c r="P4673" s="185"/>
    </row>
    <row r="4674" spans="1:17" ht="45" hidden="1" outlineLevel="1">
      <c r="A4674" s="2">
        <v>10</v>
      </c>
      <c r="B4674" s="2">
        <v>11</v>
      </c>
      <c r="C4674" s="2">
        <v>2</v>
      </c>
      <c r="D4674" s="2" t="e">
        <f>D4672+1</f>
        <v>#REF!</v>
      </c>
      <c r="E4674" s="20" t="e">
        <f>CONCATENATE(A4674,".",B4674,".",C4674,".",D4674)</f>
        <v>#REF!</v>
      </c>
      <c r="F4674" s="21" t="s">
        <v>5130</v>
      </c>
      <c r="G4674" s="22">
        <v>89825</v>
      </c>
      <c r="H4674" s="23" t="s">
        <v>806</v>
      </c>
      <c r="I4674" s="24" t="s">
        <v>36</v>
      </c>
      <c r="J4674" s="32"/>
      <c r="K4674" s="10"/>
      <c r="L4674" s="32"/>
      <c r="M4674" s="10"/>
      <c r="N4674" s="33"/>
      <c r="O4674" s="11">
        <f>SUM(O4675)</f>
        <v>32</v>
      </c>
      <c r="P4674" s="185"/>
    </row>
    <row r="4675" spans="1:17" hidden="1" outlineLevel="2">
      <c r="E4675" s="72"/>
      <c r="F4675" s="21"/>
      <c r="G4675" s="22"/>
      <c r="H4675" s="23"/>
      <c r="I4675" s="35"/>
      <c r="J4675" s="41"/>
      <c r="K4675" s="10"/>
      <c r="L4675" s="32"/>
      <c r="M4675" s="10"/>
      <c r="N4675" s="33">
        <v>32</v>
      </c>
      <c r="O4675" s="31">
        <f>ROUND(PRODUCT(J4675:N4675),2)</f>
        <v>32</v>
      </c>
      <c r="P4675" s="185"/>
    </row>
    <row r="4676" spans="1:17" ht="45" hidden="1" outlineLevel="1">
      <c r="A4676" s="2">
        <v>10</v>
      </c>
      <c r="B4676" s="2">
        <v>11</v>
      </c>
      <c r="C4676" s="2">
        <v>2</v>
      </c>
      <c r="D4676" s="2" t="e">
        <f>D4674+1</f>
        <v>#REF!</v>
      </c>
      <c r="E4676" s="20" t="e">
        <f>CONCATENATE(A4676,".",B4676,".",C4676,".",D4676)</f>
        <v>#REF!</v>
      </c>
      <c r="F4676" s="21" t="s">
        <v>5131</v>
      </c>
      <c r="G4676" s="22">
        <v>89834</v>
      </c>
      <c r="H4676" s="23" t="s">
        <v>1133</v>
      </c>
      <c r="I4676" s="24" t="s">
        <v>36</v>
      </c>
      <c r="J4676" s="32"/>
      <c r="K4676" s="10"/>
      <c r="L4676" s="32"/>
      <c r="M4676" s="10"/>
      <c r="N4676" s="33"/>
      <c r="O4676" s="11">
        <f>SUM(O4677)</f>
        <v>3</v>
      </c>
      <c r="P4676" s="185"/>
    </row>
    <row r="4677" spans="1:17" hidden="1" outlineLevel="2">
      <c r="E4677" s="72"/>
      <c r="F4677" s="21"/>
      <c r="G4677" s="34"/>
      <c r="H4677" s="30"/>
      <c r="I4677" s="35"/>
      <c r="J4677" s="41"/>
      <c r="K4677" s="10"/>
      <c r="L4677" s="32"/>
      <c r="M4677" s="10"/>
      <c r="N4677" s="33">
        <v>3</v>
      </c>
      <c r="O4677" s="31">
        <f>ROUND(PRODUCT(J4677:N4677),2)</f>
        <v>3</v>
      </c>
      <c r="P4677" s="185"/>
    </row>
    <row r="4678" spans="1:17" ht="45" hidden="1" outlineLevel="1">
      <c r="A4678" s="2">
        <v>10</v>
      </c>
      <c r="B4678" s="2">
        <v>11</v>
      </c>
      <c r="C4678" s="2">
        <v>2</v>
      </c>
      <c r="D4678" s="2" t="e">
        <f>D4676+1</f>
        <v>#REF!</v>
      </c>
      <c r="E4678" s="20" t="e">
        <f>CONCATENATE(A4678,".",B4678,".",C4678,".",D4678)</f>
        <v>#REF!</v>
      </c>
      <c r="F4678" s="21" t="s">
        <v>5132</v>
      </c>
      <c r="G4678" s="22">
        <v>89746</v>
      </c>
      <c r="H4678" s="23" t="s">
        <v>773</v>
      </c>
      <c r="I4678" s="24" t="s">
        <v>36</v>
      </c>
      <c r="J4678" s="32"/>
      <c r="K4678" s="10"/>
      <c r="L4678" s="32"/>
      <c r="M4678" s="10"/>
      <c r="N4678" s="33"/>
      <c r="O4678" s="11">
        <f>SUM(O4679)</f>
        <v>2</v>
      </c>
      <c r="P4678" s="185"/>
    </row>
    <row r="4679" spans="1:17" hidden="1" outlineLevel="2">
      <c r="E4679" s="72"/>
      <c r="F4679" s="21"/>
      <c r="G4679" s="22"/>
      <c r="H4679" s="23"/>
      <c r="I4679" s="35"/>
      <c r="J4679" s="41"/>
      <c r="K4679" s="10"/>
      <c r="L4679" s="32"/>
      <c r="M4679" s="10"/>
      <c r="N4679" s="33">
        <v>2</v>
      </c>
      <c r="O4679" s="31">
        <f>ROUND(PRODUCT(J4679:N4679),2)</f>
        <v>2</v>
      </c>
      <c r="P4679" s="185"/>
    </row>
    <row r="4680" spans="1:17" ht="30" hidden="1" outlineLevel="1">
      <c r="A4680" s="2">
        <v>10</v>
      </c>
      <c r="B4680" s="2">
        <v>11</v>
      </c>
      <c r="C4680" s="2">
        <v>2</v>
      </c>
      <c r="D4680" s="2" t="e">
        <f>D4678+1</f>
        <v>#REF!</v>
      </c>
      <c r="E4680" s="20" t="e">
        <f>CONCATENATE(A4680,".",B4680,".",C4680,".",D4680)</f>
        <v>#REF!</v>
      </c>
      <c r="F4680" s="21" t="s">
        <v>5133</v>
      </c>
      <c r="G4680" s="22">
        <v>1123</v>
      </c>
      <c r="H4680" s="23" t="s">
        <v>1875</v>
      </c>
      <c r="I4680" s="24" t="s">
        <v>36</v>
      </c>
      <c r="J4680" s="32"/>
      <c r="K4680" s="10"/>
      <c r="L4680" s="32"/>
      <c r="M4680" s="10"/>
      <c r="N4680" s="33"/>
      <c r="O4680" s="11">
        <f>SUM(O4681)</f>
        <v>2</v>
      </c>
      <c r="P4680" s="185"/>
    </row>
    <row r="4681" spans="1:17" hidden="1" outlineLevel="2">
      <c r="E4681" s="72"/>
      <c r="F4681" s="21"/>
      <c r="G4681" s="22"/>
      <c r="H4681" s="23"/>
      <c r="I4681" s="35"/>
      <c r="J4681" s="41"/>
      <c r="K4681" s="10"/>
      <c r="L4681" s="32"/>
      <c r="M4681" s="10"/>
      <c r="N4681" s="33">
        <v>2</v>
      </c>
      <c r="O4681" s="31">
        <f>ROUND(PRODUCT(J4681:N4681),2)</f>
        <v>2</v>
      </c>
      <c r="P4681" s="185"/>
    </row>
    <row r="4682" spans="1:17" ht="45" hidden="1" outlineLevel="1">
      <c r="A4682" s="2">
        <v>10</v>
      </c>
      <c r="B4682" s="2">
        <v>11</v>
      </c>
      <c r="C4682" s="2">
        <v>2</v>
      </c>
      <c r="D4682" s="2" t="e">
        <f>D4680+1</f>
        <v>#REF!</v>
      </c>
      <c r="E4682" s="20" t="e">
        <f>CONCATENATE(A4682,".",B4682,".",C4682,".",D4682)</f>
        <v>#REF!</v>
      </c>
      <c r="F4682" s="21" t="s">
        <v>5134</v>
      </c>
      <c r="G4682" s="22">
        <v>104348</v>
      </c>
      <c r="H4682" s="23" t="s">
        <v>800</v>
      </c>
      <c r="I4682" s="24" t="s">
        <v>36</v>
      </c>
      <c r="J4682" s="32"/>
      <c r="K4682" s="10"/>
      <c r="L4682" s="32"/>
      <c r="M4682" s="10"/>
      <c r="N4682" s="33"/>
      <c r="O4682" s="11">
        <f>SUM(O4683)</f>
        <v>2</v>
      </c>
      <c r="P4682" s="185"/>
    </row>
    <row r="4683" spans="1:17" hidden="1" outlineLevel="2">
      <c r="E4683" s="72"/>
      <c r="F4683" s="21"/>
      <c r="G4683" s="22"/>
      <c r="H4683" s="23"/>
      <c r="I4683" s="35"/>
      <c r="J4683" s="41"/>
      <c r="K4683" s="10"/>
      <c r="L4683" s="32"/>
      <c r="M4683" s="10"/>
      <c r="N4683" s="33">
        <v>2</v>
      </c>
      <c r="O4683" s="31">
        <f>ROUND(PRODUCT(J4683:N4683),2)</f>
        <v>2</v>
      </c>
      <c r="P4683" s="185"/>
    </row>
    <row r="4684" spans="1:17" hidden="1" outlineLevel="1">
      <c r="A4684" s="2">
        <v>10</v>
      </c>
      <c r="B4684" s="2">
        <v>11</v>
      </c>
      <c r="C4684" s="2">
        <v>2</v>
      </c>
      <c r="D4684" s="2" t="e">
        <f>D4682+1</f>
        <v>#REF!</v>
      </c>
      <c r="E4684" s="20" t="e">
        <f>CONCATENATE(A4684,".",B4684,".",C4684,".",D4684)</f>
        <v>#REF!</v>
      </c>
      <c r="F4684" s="21" t="s">
        <v>5135</v>
      </c>
      <c r="G4684" s="22">
        <v>2351</v>
      </c>
      <c r="H4684" s="23" t="s">
        <v>833</v>
      </c>
      <c r="I4684" s="24" t="s">
        <v>36</v>
      </c>
      <c r="J4684" s="32"/>
      <c r="K4684" s="10"/>
      <c r="L4684" s="32"/>
      <c r="M4684" s="10"/>
      <c r="N4684" s="33"/>
      <c r="O4684" s="11">
        <f>SUM(O4685)</f>
        <v>10</v>
      </c>
      <c r="P4684" s="185"/>
    </row>
    <row r="4685" spans="1:17" hidden="1" outlineLevel="2">
      <c r="E4685" s="72"/>
      <c r="F4685" s="21"/>
      <c r="G4685" s="22"/>
      <c r="H4685" s="23"/>
      <c r="I4685" s="35"/>
      <c r="J4685" s="41"/>
      <c r="K4685" s="10"/>
      <c r="L4685" s="32"/>
      <c r="M4685" s="10"/>
      <c r="N4685" s="33">
        <v>10</v>
      </c>
      <c r="O4685" s="31">
        <f>ROUND(PRODUCT(J4685:N4685),2)</f>
        <v>10</v>
      </c>
      <c r="P4685" s="185"/>
    </row>
    <row r="4686" spans="1:17" collapsed="1">
      <c r="A4686" s="2">
        <v>10</v>
      </c>
      <c r="B4686" s="2">
        <v>11</v>
      </c>
      <c r="C4686" s="2">
        <v>3</v>
      </c>
      <c r="E4686" s="42" t="str">
        <f>CONCATENATE(A4686,".",B4686,".",C4686)</f>
        <v>10.11.3</v>
      </c>
      <c r="F4686" s="45" t="s">
        <v>5025</v>
      </c>
      <c r="G4686" s="13"/>
      <c r="H4686" s="14" t="s">
        <v>375</v>
      </c>
      <c r="I4686" s="15"/>
      <c r="J4686" s="16"/>
      <c r="K4686" s="17"/>
      <c r="L4686" s="16"/>
      <c r="M4686" s="17"/>
      <c r="N4686" s="18"/>
      <c r="O4686" s="19"/>
      <c r="P4686" s="185"/>
      <c r="Q4686" s="185"/>
    </row>
    <row r="4687" spans="1:17" ht="45" hidden="1" outlineLevel="1">
      <c r="A4687" s="2">
        <v>10</v>
      </c>
      <c r="B4687" s="2">
        <v>11</v>
      </c>
      <c r="C4687" s="2">
        <v>3</v>
      </c>
      <c r="D4687" s="2">
        <v>1</v>
      </c>
      <c r="E4687" s="66" t="str">
        <f>CONCATENATE(A4687,".",B4687,".",C4687,".",D4687)</f>
        <v>10.11.3.1</v>
      </c>
      <c r="F4687" s="21" t="s">
        <v>5136</v>
      </c>
      <c r="G4687" s="22" t="s">
        <v>5137</v>
      </c>
      <c r="H4687" s="23" t="s">
        <v>5138</v>
      </c>
      <c r="I4687" s="24" t="s">
        <v>36</v>
      </c>
      <c r="J4687" s="32"/>
      <c r="K4687" s="10"/>
      <c r="L4687" s="32"/>
      <c r="M4687" s="10"/>
      <c r="N4687" s="33"/>
      <c r="O4687" s="11">
        <f>SUM(O4688)</f>
        <v>5</v>
      </c>
      <c r="P4687" s="185"/>
      <c r="Q4687" s="185"/>
    </row>
    <row r="4688" spans="1:17" hidden="1" outlineLevel="2">
      <c r="E4688" s="72"/>
      <c r="F4688" s="21"/>
      <c r="G4688" s="34"/>
      <c r="H4688" s="30"/>
      <c r="I4688" s="35"/>
      <c r="J4688" s="41"/>
      <c r="K4688" s="10"/>
      <c r="L4688" s="32"/>
      <c r="M4688" s="10"/>
      <c r="N4688" s="33">
        <v>5</v>
      </c>
      <c r="O4688" s="31">
        <f>ROUND(PRODUCT(J4688:N4688),2)</f>
        <v>5</v>
      </c>
      <c r="P4688" s="185"/>
    </row>
    <row r="4689" spans="1:17" ht="30" hidden="1" outlineLevel="1">
      <c r="A4689" s="2">
        <v>10</v>
      </c>
      <c r="B4689" s="2">
        <v>11</v>
      </c>
      <c r="C4689" s="2">
        <v>3</v>
      </c>
      <c r="D4689" s="2">
        <f>D4687+1</f>
        <v>2</v>
      </c>
      <c r="E4689" s="20" t="str">
        <f>CONCATENATE(A4689,".",B4689,".",C4689,".",D4689)</f>
        <v>10.11.3.2</v>
      </c>
      <c r="F4689" s="21" t="s">
        <v>5139</v>
      </c>
      <c r="G4689" s="22">
        <v>100858</v>
      </c>
      <c r="H4689" s="23" t="s">
        <v>5140</v>
      </c>
      <c r="I4689" s="24" t="s">
        <v>36</v>
      </c>
      <c r="J4689" s="32"/>
      <c r="K4689" s="10"/>
      <c r="L4689" s="32"/>
      <c r="M4689" s="10"/>
      <c r="N4689" s="33"/>
      <c r="O4689" s="11">
        <f>SUM(O4690)</f>
        <v>2</v>
      </c>
      <c r="P4689" s="185"/>
      <c r="Q4689" s="185"/>
    </row>
    <row r="4690" spans="1:17" hidden="1" outlineLevel="2">
      <c r="E4690" s="72"/>
      <c r="F4690" s="21"/>
      <c r="G4690" s="34"/>
      <c r="H4690" s="30"/>
      <c r="I4690" s="35"/>
      <c r="J4690" s="41"/>
      <c r="K4690" s="10"/>
      <c r="L4690" s="32"/>
      <c r="M4690" s="10"/>
      <c r="N4690" s="33">
        <v>2</v>
      </c>
      <c r="O4690" s="31">
        <f>ROUND(PRODUCT(J4690:N4690),2)</f>
        <v>2</v>
      </c>
      <c r="P4690" s="185"/>
    </row>
    <row r="4691" spans="1:17" ht="30" hidden="1" outlineLevel="1">
      <c r="A4691" s="2">
        <v>10</v>
      </c>
      <c r="B4691" s="2">
        <v>11</v>
      </c>
      <c r="C4691" s="2">
        <v>3</v>
      </c>
      <c r="D4691" s="2">
        <f>D4689+1</f>
        <v>3</v>
      </c>
      <c r="E4691" s="20" t="str">
        <f>CONCATENATE(A4691,".",B4691,".",C4691,".",D4691)</f>
        <v>10.11.3.3</v>
      </c>
      <c r="F4691" s="21" t="s">
        <v>5141</v>
      </c>
      <c r="G4691" s="22">
        <v>99635</v>
      </c>
      <c r="H4691" s="23" t="s">
        <v>5142</v>
      </c>
      <c r="I4691" s="24" t="s">
        <v>36</v>
      </c>
      <c r="J4691" s="32"/>
      <c r="K4691" s="10"/>
      <c r="L4691" s="32"/>
      <c r="M4691" s="10"/>
      <c r="N4691" s="33"/>
      <c r="O4691" s="11">
        <f>SUM(O4692:O4693)</f>
        <v>7</v>
      </c>
      <c r="P4691" s="185"/>
      <c r="Q4691" s="185"/>
    </row>
    <row r="4692" spans="1:17" hidden="1" outlineLevel="2">
      <c r="E4692" s="72"/>
      <c r="F4692" s="21"/>
      <c r="G4692" s="34"/>
      <c r="H4692" s="30"/>
      <c r="I4692" s="35"/>
      <c r="J4692" s="41"/>
      <c r="K4692" s="10"/>
      <c r="L4692" s="32"/>
      <c r="M4692" s="10"/>
      <c r="N4692" s="33">
        <v>5</v>
      </c>
      <c r="O4692" s="31">
        <f>ROUND(PRODUCT(J4692:N4692),2)</f>
        <v>5</v>
      </c>
      <c r="P4692" s="185"/>
    </row>
    <row r="4693" spans="1:17" hidden="1" outlineLevel="2">
      <c r="E4693" s="72"/>
      <c r="F4693" s="21"/>
      <c r="G4693" s="34"/>
      <c r="H4693" s="30"/>
      <c r="I4693" s="35"/>
      <c r="J4693" s="41"/>
      <c r="K4693" s="10"/>
      <c r="L4693" s="32"/>
      <c r="M4693" s="10"/>
      <c r="N4693" s="33">
        <v>2</v>
      </c>
      <c r="O4693" s="31">
        <f>ROUND(PRODUCT(J4693:N4693),2)</f>
        <v>2</v>
      </c>
      <c r="P4693" s="185"/>
    </row>
    <row r="4694" spans="1:17" ht="30" hidden="1" outlineLevel="1">
      <c r="A4694" s="2">
        <v>10</v>
      </c>
      <c r="B4694" s="2">
        <v>11</v>
      </c>
      <c r="C4694" s="2">
        <v>3</v>
      </c>
      <c r="D4694" s="2">
        <f>D4691+1</f>
        <v>4</v>
      </c>
      <c r="E4694" s="20" t="str">
        <f>CONCATENATE(A4694,".",B4694,".",C4694,".",D4694)</f>
        <v>10.11.3.4</v>
      </c>
      <c r="F4694" s="21" t="s">
        <v>5143</v>
      </c>
      <c r="G4694" s="22">
        <v>86901</v>
      </c>
      <c r="H4694" s="23" t="s">
        <v>1762</v>
      </c>
      <c r="I4694" s="24" t="s">
        <v>36</v>
      </c>
      <c r="J4694" s="32"/>
      <c r="K4694" s="10"/>
      <c r="L4694" s="32"/>
      <c r="M4694" s="10"/>
      <c r="N4694" s="33"/>
      <c r="O4694" s="11">
        <f>SUM(O4695)</f>
        <v>6</v>
      </c>
      <c r="P4694" s="185"/>
      <c r="Q4694" s="185"/>
    </row>
    <row r="4695" spans="1:17" hidden="1" outlineLevel="2">
      <c r="E4695" s="72"/>
      <c r="F4695" s="21"/>
      <c r="G4695" s="34"/>
      <c r="H4695" s="30"/>
      <c r="I4695" s="35"/>
      <c r="J4695" s="41"/>
      <c r="K4695" s="10"/>
      <c r="L4695" s="32"/>
      <c r="M4695" s="10"/>
      <c r="N4695" s="33">
        <v>6</v>
      </c>
      <c r="O4695" s="31">
        <f>ROUND(PRODUCT(J4695:N4695),2)</f>
        <v>6</v>
      </c>
      <c r="P4695" s="185"/>
    </row>
    <row r="4696" spans="1:17" ht="30" hidden="1" outlineLevel="1">
      <c r="A4696" s="2">
        <v>10</v>
      </c>
      <c r="B4696" s="2">
        <v>11</v>
      </c>
      <c r="C4696" s="2">
        <v>3</v>
      </c>
      <c r="D4696" s="2">
        <f>D4694+1</f>
        <v>5</v>
      </c>
      <c r="E4696" s="20" t="str">
        <f>CONCATENATE(A4696,".",B4696,".",C4696,".",D4696)</f>
        <v>10.11.3.5</v>
      </c>
      <c r="F4696" s="21" t="s">
        <v>5144</v>
      </c>
      <c r="G4696" s="22">
        <v>86904</v>
      </c>
      <c r="H4696" s="23" t="s">
        <v>1765</v>
      </c>
      <c r="I4696" s="24" t="s">
        <v>36</v>
      </c>
      <c r="J4696" s="32"/>
      <c r="K4696" s="10"/>
      <c r="L4696" s="32"/>
      <c r="M4696" s="10"/>
      <c r="N4696" s="33"/>
      <c r="O4696" s="11">
        <f>SUM(O4697)</f>
        <v>2</v>
      </c>
      <c r="P4696" s="185"/>
      <c r="Q4696" s="185"/>
    </row>
    <row r="4697" spans="1:17" hidden="1" outlineLevel="2">
      <c r="E4697" s="72"/>
      <c r="F4697" s="21"/>
      <c r="G4697" s="34"/>
      <c r="H4697" s="30"/>
      <c r="I4697" s="35"/>
      <c r="J4697" s="41"/>
      <c r="K4697" s="10"/>
      <c r="L4697" s="32"/>
      <c r="M4697" s="10"/>
      <c r="N4697" s="33">
        <v>2</v>
      </c>
      <c r="O4697" s="31">
        <f>ROUND(PRODUCT(J4697:N4697),2)</f>
        <v>2</v>
      </c>
      <c r="P4697" s="185"/>
    </row>
    <row r="4698" spans="1:17" ht="30" hidden="1" outlineLevel="1">
      <c r="A4698" s="2">
        <v>10</v>
      </c>
      <c r="B4698" s="2">
        <v>11</v>
      </c>
      <c r="C4698" s="2">
        <v>3</v>
      </c>
      <c r="D4698" s="2">
        <f>D4696+1</f>
        <v>6</v>
      </c>
      <c r="E4698" s="20" t="str">
        <f>CONCATENATE(A4698,".",B4698,".",C4698,".",D4698)</f>
        <v>10.11.3.6</v>
      </c>
      <c r="F4698" s="21" t="s">
        <v>5145</v>
      </c>
      <c r="G4698" s="22">
        <v>100860</v>
      </c>
      <c r="H4698" s="23" t="s">
        <v>4887</v>
      </c>
      <c r="I4698" s="24" t="s">
        <v>36</v>
      </c>
      <c r="J4698" s="32"/>
      <c r="K4698" s="10"/>
      <c r="L4698" s="32"/>
      <c r="M4698" s="10"/>
      <c r="N4698" s="33"/>
      <c r="O4698" s="11">
        <f>SUM(O4699)</f>
        <v>8</v>
      </c>
      <c r="P4698" s="185"/>
      <c r="Q4698" s="185"/>
    </row>
    <row r="4699" spans="1:17" hidden="1" outlineLevel="2">
      <c r="E4699" s="72"/>
      <c r="F4699" s="21"/>
      <c r="G4699" s="34"/>
      <c r="H4699" s="30"/>
      <c r="I4699" s="35"/>
      <c r="J4699" s="41"/>
      <c r="K4699" s="10"/>
      <c r="L4699" s="32"/>
      <c r="M4699" s="10"/>
      <c r="N4699" s="33">
        <v>8</v>
      </c>
      <c r="O4699" s="31">
        <f>ROUND(PRODUCT(J4699:N4699),2)</f>
        <v>8</v>
      </c>
      <c r="P4699" s="185"/>
    </row>
    <row r="4700" spans="1:17" ht="30" hidden="1" outlineLevel="1">
      <c r="A4700" s="2">
        <v>10</v>
      </c>
      <c r="B4700" s="2">
        <v>11</v>
      </c>
      <c r="C4700" s="2">
        <v>3</v>
      </c>
      <c r="D4700" s="2">
        <f>D4698+1</f>
        <v>7</v>
      </c>
      <c r="E4700" s="20" t="str">
        <f>CONCATENATE(A4700,".",B4700,".",C4700,".",D4700)</f>
        <v>10.11.3.7</v>
      </c>
      <c r="F4700" s="21" t="s">
        <v>5146</v>
      </c>
      <c r="G4700" s="22">
        <v>95544</v>
      </c>
      <c r="H4700" s="23" t="s">
        <v>5147</v>
      </c>
      <c r="I4700" s="24" t="s">
        <v>36</v>
      </c>
      <c r="J4700" s="32"/>
      <c r="K4700" s="10"/>
      <c r="L4700" s="32"/>
      <c r="M4700" s="10"/>
      <c r="N4700" s="33"/>
      <c r="O4700" s="11">
        <f>SUM(O4701)</f>
        <v>5</v>
      </c>
      <c r="P4700" s="185"/>
      <c r="Q4700" s="185"/>
    </row>
    <row r="4701" spans="1:17" hidden="1" outlineLevel="2">
      <c r="E4701" s="72"/>
      <c r="F4701" s="21"/>
      <c r="G4701" s="34"/>
      <c r="H4701" s="30"/>
      <c r="I4701" s="35"/>
      <c r="J4701" s="41"/>
      <c r="K4701" s="10"/>
      <c r="L4701" s="32"/>
      <c r="M4701" s="10"/>
      <c r="N4701" s="33">
        <v>5</v>
      </c>
      <c r="O4701" s="31">
        <f>ROUND(PRODUCT(J4701:N4701),2)</f>
        <v>5</v>
      </c>
      <c r="P4701" s="185"/>
    </row>
    <row r="4702" spans="1:17" ht="30" hidden="1" outlineLevel="1">
      <c r="A4702" s="2">
        <v>10</v>
      </c>
      <c r="B4702" s="2">
        <v>11</v>
      </c>
      <c r="C4702" s="2">
        <v>3</v>
      </c>
      <c r="D4702" s="2">
        <f>D4700+1</f>
        <v>8</v>
      </c>
      <c r="E4702" s="20" t="str">
        <f>CONCATENATE(A4702,".",B4702,".",C4702,".",D4702)</f>
        <v>10.11.3.8</v>
      </c>
      <c r="F4702" s="21" t="s">
        <v>5148</v>
      </c>
      <c r="G4702" s="22">
        <v>95547</v>
      </c>
      <c r="H4702" s="23" t="s">
        <v>420</v>
      </c>
      <c r="I4702" s="24" t="s">
        <v>36</v>
      </c>
      <c r="J4702" s="32"/>
      <c r="K4702" s="10"/>
      <c r="L4702" s="32"/>
      <c r="M4702" s="10"/>
      <c r="N4702" s="33"/>
      <c r="O4702" s="11">
        <f>SUM(O4703)</f>
        <v>8</v>
      </c>
      <c r="P4702" s="185"/>
      <c r="Q4702" s="185"/>
    </row>
    <row r="4703" spans="1:17" hidden="1" outlineLevel="2">
      <c r="E4703" s="72"/>
      <c r="F4703" s="21"/>
      <c r="G4703" s="34"/>
      <c r="H4703" s="30"/>
      <c r="I4703" s="35"/>
      <c r="J4703" s="41"/>
      <c r="K4703" s="10"/>
      <c r="L4703" s="32"/>
      <c r="M4703" s="10"/>
      <c r="N4703" s="33">
        <f>6+2</f>
        <v>8</v>
      </c>
      <c r="O4703" s="31">
        <f>ROUND(PRODUCT(J4703:N4703),2)</f>
        <v>8</v>
      </c>
      <c r="P4703" s="185"/>
    </row>
    <row r="4704" spans="1:17" ht="30" hidden="1" outlineLevel="1">
      <c r="A4704" s="2">
        <v>10</v>
      </c>
      <c r="B4704" s="2">
        <v>11</v>
      </c>
      <c r="C4704" s="2">
        <v>3</v>
      </c>
      <c r="D4704" s="2">
        <f>D4702+1</f>
        <v>9</v>
      </c>
      <c r="E4704" s="66" t="str">
        <f>CONCATENATE(A4704,".",B4704,".",C4704,".",D4704)</f>
        <v>10.11.3.9</v>
      </c>
      <c r="F4704" s="21" t="s">
        <v>5149</v>
      </c>
      <c r="G4704" s="22" t="s">
        <v>5150</v>
      </c>
      <c r="H4704" s="23" t="s">
        <v>5151</v>
      </c>
      <c r="I4704" s="24" t="s">
        <v>36</v>
      </c>
      <c r="J4704" s="32"/>
      <c r="K4704" s="10"/>
      <c r="L4704" s="32"/>
      <c r="M4704" s="10"/>
      <c r="N4704" s="33"/>
      <c r="O4704" s="11">
        <f>SUM(O4705:O4706)</f>
        <v>8</v>
      </c>
      <c r="P4704" s="185"/>
      <c r="Q4704" s="185"/>
    </row>
    <row r="4705" spans="1:17" hidden="1" outlineLevel="2">
      <c r="E4705" s="72"/>
      <c r="F4705" s="21"/>
      <c r="G4705" s="34"/>
      <c r="H4705" s="30"/>
      <c r="I4705" s="35"/>
      <c r="J4705" s="41"/>
      <c r="K4705" s="10"/>
      <c r="L4705" s="32"/>
      <c r="M4705" s="10"/>
      <c r="N4705" s="33">
        <v>6</v>
      </c>
      <c r="O4705" s="31">
        <f>ROUND(PRODUCT(J4705:N4705),2)</f>
        <v>6</v>
      </c>
      <c r="P4705" s="185"/>
    </row>
    <row r="4706" spans="1:17" hidden="1" outlineLevel="2">
      <c r="E4706" s="72"/>
      <c r="F4706" s="21"/>
      <c r="G4706" s="34"/>
      <c r="H4706" s="30"/>
      <c r="I4706" s="35"/>
      <c r="J4706" s="41"/>
      <c r="K4706" s="10"/>
      <c r="L4706" s="32"/>
      <c r="M4706" s="10"/>
      <c r="N4706" s="33">
        <v>2</v>
      </c>
      <c r="O4706" s="31">
        <f>ROUND(PRODUCT(J4706:N4706),2)</f>
        <v>2</v>
      </c>
      <c r="P4706" s="185"/>
    </row>
    <row r="4707" spans="1:17" ht="30" hidden="1" outlineLevel="1">
      <c r="A4707" s="2">
        <v>10</v>
      </c>
      <c r="B4707" s="2">
        <v>11</v>
      </c>
      <c r="C4707" s="2">
        <v>3</v>
      </c>
      <c r="D4707" s="2">
        <f>D4704+1</f>
        <v>10</v>
      </c>
      <c r="E4707" s="20" t="str">
        <f>CONCATENATE(A4707,".",B4707,".",C4707,".",D4707)</f>
        <v>10.11.3.10</v>
      </c>
      <c r="F4707" s="21" t="s">
        <v>5152</v>
      </c>
      <c r="G4707" s="22">
        <v>100866</v>
      </c>
      <c r="H4707" s="23" t="s">
        <v>1771</v>
      </c>
      <c r="I4707" s="24" t="s">
        <v>36</v>
      </c>
      <c r="J4707" s="32"/>
      <c r="K4707" s="10"/>
      <c r="L4707" s="32"/>
      <c r="M4707" s="10"/>
      <c r="N4707" s="33"/>
      <c r="O4707" s="11">
        <f>SUM(O4708)</f>
        <v>3</v>
      </c>
      <c r="P4707" s="185"/>
      <c r="Q4707" s="185"/>
    </row>
    <row r="4708" spans="1:17" hidden="1" outlineLevel="2">
      <c r="E4708" s="72"/>
      <c r="F4708" s="21"/>
      <c r="G4708" s="34"/>
      <c r="H4708" s="30"/>
      <c r="I4708" s="35"/>
      <c r="J4708" s="41"/>
      <c r="K4708" s="10"/>
      <c r="L4708" s="32"/>
      <c r="M4708" s="10"/>
      <c r="N4708" s="33">
        <v>3</v>
      </c>
      <c r="O4708" s="31">
        <f>ROUND(PRODUCT(J4708:N4708),2)</f>
        <v>3</v>
      </c>
      <c r="P4708" s="185"/>
    </row>
    <row r="4709" spans="1:17" ht="30" hidden="1" outlineLevel="1">
      <c r="A4709" s="2">
        <v>10</v>
      </c>
      <c r="B4709" s="2">
        <v>11</v>
      </c>
      <c r="C4709" s="2">
        <v>3</v>
      </c>
      <c r="D4709" s="2">
        <f>D4707+1</f>
        <v>11</v>
      </c>
      <c r="E4709" s="20" t="str">
        <f>CONCATENATE(A4709,".",B4709,".",C4709,".",D4709)</f>
        <v>10.11.3.11</v>
      </c>
      <c r="F4709" s="21" t="s">
        <v>5153</v>
      </c>
      <c r="G4709" s="22">
        <v>100867</v>
      </c>
      <c r="H4709" s="23" t="s">
        <v>5154</v>
      </c>
      <c r="I4709" s="24" t="s">
        <v>36</v>
      </c>
      <c r="J4709" s="32"/>
      <c r="K4709" s="10"/>
      <c r="L4709" s="32"/>
      <c r="M4709" s="10"/>
      <c r="N4709" s="33"/>
      <c r="O4709" s="11">
        <f>SUM(O4710)</f>
        <v>11</v>
      </c>
      <c r="P4709" s="185"/>
      <c r="Q4709" s="185"/>
    </row>
    <row r="4710" spans="1:17" hidden="1" outlineLevel="2">
      <c r="E4710" s="72"/>
      <c r="F4710" s="21"/>
      <c r="G4710" s="34"/>
      <c r="H4710" s="30"/>
      <c r="I4710" s="35"/>
      <c r="J4710" s="41"/>
      <c r="K4710" s="10"/>
      <c r="L4710" s="32"/>
      <c r="M4710" s="10"/>
      <c r="N4710" s="33">
        <v>11</v>
      </c>
      <c r="O4710" s="31">
        <f>ROUND(PRODUCT(J4710:N4710),2)</f>
        <v>11</v>
      </c>
      <c r="P4710" s="185"/>
    </row>
    <row r="4711" spans="1:17" ht="30" hidden="1" outlineLevel="1">
      <c r="A4711" s="2">
        <v>10</v>
      </c>
      <c r="B4711" s="2">
        <v>11</v>
      </c>
      <c r="C4711" s="2">
        <v>3</v>
      </c>
      <c r="D4711" s="2">
        <f>D4709+1</f>
        <v>12</v>
      </c>
      <c r="E4711" s="20" t="str">
        <f>CONCATENATE(A4711,".",B4711,".",C4711,".",D4711)</f>
        <v>10.11.3.12</v>
      </c>
      <c r="F4711" s="21" t="s">
        <v>5155</v>
      </c>
      <c r="G4711" s="22">
        <v>100868</v>
      </c>
      <c r="H4711" s="23" t="s">
        <v>5156</v>
      </c>
      <c r="I4711" s="24" t="s">
        <v>36</v>
      </c>
      <c r="J4711" s="32"/>
      <c r="K4711" s="10"/>
      <c r="L4711" s="32"/>
      <c r="M4711" s="10"/>
      <c r="N4711" s="33"/>
      <c r="O4711" s="11">
        <f>SUM(O4712)</f>
        <v>6</v>
      </c>
      <c r="P4711" s="185"/>
      <c r="Q4711" s="185"/>
    </row>
    <row r="4712" spans="1:17" hidden="1" outlineLevel="2">
      <c r="E4712" s="72"/>
      <c r="F4712" s="21"/>
      <c r="G4712" s="34"/>
      <c r="H4712" s="30"/>
      <c r="I4712" s="35"/>
      <c r="J4712" s="41"/>
      <c r="K4712" s="10"/>
      <c r="L4712" s="32"/>
      <c r="M4712" s="10"/>
      <c r="N4712" s="33">
        <v>6</v>
      </c>
      <c r="O4712" s="31">
        <f>ROUND(PRODUCT(J4712:N4712),2)</f>
        <v>6</v>
      </c>
      <c r="P4712" s="185"/>
    </row>
    <row r="4713" spans="1:17" ht="30" hidden="1" outlineLevel="1">
      <c r="A4713" s="2">
        <v>10</v>
      </c>
      <c r="B4713" s="2">
        <v>11</v>
      </c>
      <c r="C4713" s="2">
        <v>3</v>
      </c>
      <c r="D4713" s="2">
        <f>D4711+1</f>
        <v>13</v>
      </c>
      <c r="E4713" s="20" t="str">
        <f>CONCATENATE(A4713,".",B4713,".",C4713,".",D4713)</f>
        <v>10.11.3.13</v>
      </c>
      <c r="F4713" s="21" t="s">
        <v>5157</v>
      </c>
      <c r="G4713" s="22">
        <v>100875</v>
      </c>
      <c r="H4713" s="23" t="s">
        <v>1780</v>
      </c>
      <c r="I4713" s="24" t="s">
        <v>36</v>
      </c>
      <c r="J4713" s="32"/>
      <c r="K4713" s="10"/>
      <c r="L4713" s="32"/>
      <c r="M4713" s="10"/>
      <c r="N4713" s="33"/>
      <c r="O4713" s="11">
        <f>SUM(O4714)</f>
        <v>2</v>
      </c>
      <c r="P4713" s="185"/>
      <c r="Q4713" s="185"/>
    </row>
    <row r="4714" spans="1:17" hidden="1" outlineLevel="2">
      <c r="E4714" s="72"/>
      <c r="F4714" s="21"/>
      <c r="G4714" s="34"/>
      <c r="H4714" s="30"/>
      <c r="I4714" s="35"/>
      <c r="J4714" s="41"/>
      <c r="K4714" s="10"/>
      <c r="L4714" s="32"/>
      <c r="M4714" s="10"/>
      <c r="N4714" s="33">
        <v>2</v>
      </c>
      <c r="O4714" s="31">
        <f>ROUND(PRODUCT(J4714:N4714),2)</f>
        <v>2</v>
      </c>
      <c r="P4714" s="185"/>
    </row>
    <row r="4715" spans="1:17" hidden="1" outlineLevel="1">
      <c r="A4715" s="2">
        <v>10</v>
      </c>
      <c r="B4715" s="2">
        <v>11</v>
      </c>
      <c r="C4715" s="2">
        <v>3</v>
      </c>
      <c r="D4715" s="2">
        <f>D4713+1</f>
        <v>14</v>
      </c>
      <c r="E4715" s="20" t="str">
        <f>CONCATENATE(A4715,".",B4715,".",C4715,".",D4715)</f>
        <v>10.11.3.14</v>
      </c>
      <c r="F4715" s="21" t="s">
        <v>5158</v>
      </c>
      <c r="G4715" s="22" t="s">
        <v>5159</v>
      </c>
      <c r="H4715" s="23" t="s">
        <v>5160</v>
      </c>
      <c r="I4715" s="24" t="s">
        <v>276</v>
      </c>
      <c r="J4715" s="32"/>
      <c r="K4715" s="10"/>
      <c r="L4715" s="32"/>
      <c r="M4715" s="10"/>
      <c r="N4715" s="33"/>
      <c r="O4715" s="11">
        <f>SUM(O4716)</f>
        <v>3.79</v>
      </c>
      <c r="P4715" s="185"/>
      <c r="Q4715" s="185"/>
    </row>
    <row r="4716" spans="1:17" hidden="1" outlineLevel="2">
      <c r="E4716" s="72"/>
      <c r="F4716" s="21"/>
      <c r="G4716" s="34"/>
      <c r="H4716" s="30"/>
      <c r="I4716" s="35"/>
      <c r="J4716" s="41"/>
      <c r="K4716" s="10"/>
      <c r="L4716" s="32"/>
      <c r="M4716" s="10"/>
      <c r="N4716" s="33">
        <v>3.79</v>
      </c>
      <c r="O4716" s="31">
        <f>ROUND(PRODUCT(J4716:N4716),2)</f>
        <v>3.79</v>
      </c>
      <c r="P4716" s="185"/>
    </row>
    <row r="4717" spans="1:17" hidden="1" outlineLevel="1">
      <c r="A4717" s="2">
        <v>10</v>
      </c>
      <c r="B4717" s="2">
        <v>11</v>
      </c>
      <c r="C4717" s="2">
        <v>3</v>
      </c>
      <c r="D4717" s="2">
        <f>D4715+1</f>
        <v>15</v>
      </c>
      <c r="E4717" s="20" t="str">
        <f>CONCATENATE(A4717,".",B4717,".",C4717,".",D4717)</f>
        <v>10.11.3.15</v>
      </c>
      <c r="F4717" s="21" t="s">
        <v>5161</v>
      </c>
      <c r="G4717" s="22" t="s">
        <v>5162</v>
      </c>
      <c r="H4717" s="23" t="s">
        <v>5163</v>
      </c>
      <c r="I4717" s="24" t="s">
        <v>36</v>
      </c>
      <c r="J4717" s="32"/>
      <c r="K4717" s="10"/>
      <c r="L4717" s="32"/>
      <c r="M4717" s="10"/>
      <c r="N4717" s="33"/>
      <c r="O4717" s="11">
        <f>SUM(O4718)</f>
        <v>8</v>
      </c>
      <c r="P4717" s="185"/>
      <c r="Q4717" s="185"/>
    </row>
    <row r="4718" spans="1:17" hidden="1" outlineLevel="2">
      <c r="E4718" s="72"/>
      <c r="F4718" s="21"/>
      <c r="G4718" s="34"/>
      <c r="H4718" s="30"/>
      <c r="I4718" s="35"/>
      <c r="J4718" s="41"/>
      <c r="K4718" s="10"/>
      <c r="L4718" s="32"/>
      <c r="M4718" s="10"/>
      <c r="N4718" s="33">
        <v>8</v>
      </c>
      <c r="O4718" s="31">
        <f>ROUND(PRODUCT(J4718:N4718),2)</f>
        <v>8</v>
      </c>
      <c r="P4718" s="185"/>
    </row>
    <row r="4719" spans="1:17" ht="30" hidden="1" outlineLevel="1">
      <c r="A4719" s="2">
        <v>10</v>
      </c>
      <c r="B4719" s="2">
        <v>11</v>
      </c>
      <c r="C4719" s="2">
        <v>3</v>
      </c>
      <c r="D4719" s="2">
        <f>D4717+1</f>
        <v>16</v>
      </c>
      <c r="E4719" s="20" t="str">
        <f>CONCATENATE(A4719,".",B4719,".",C4719,".",D4719)</f>
        <v>10.11.3.16</v>
      </c>
      <c r="F4719" s="21" t="s">
        <v>5164</v>
      </c>
      <c r="G4719" s="22" t="s">
        <v>5165</v>
      </c>
      <c r="H4719" s="23" t="s">
        <v>444</v>
      </c>
      <c r="I4719" s="24" t="s">
        <v>36</v>
      </c>
      <c r="J4719" s="32"/>
      <c r="K4719" s="10"/>
      <c r="L4719" s="32"/>
      <c r="M4719" s="10"/>
      <c r="N4719" s="33"/>
      <c r="O4719" s="11">
        <f>SUM(O4720)</f>
        <v>2</v>
      </c>
      <c r="P4719" s="185"/>
      <c r="Q4719" s="185"/>
    </row>
    <row r="4720" spans="1:17" hidden="1" outlineLevel="2">
      <c r="E4720" s="72"/>
      <c r="F4720" s="21"/>
      <c r="G4720" s="34"/>
      <c r="H4720" s="30"/>
      <c r="I4720" s="35"/>
      <c r="J4720" s="41"/>
      <c r="K4720" s="10"/>
      <c r="L4720" s="32"/>
      <c r="M4720" s="10"/>
      <c r="N4720" s="33">
        <v>2</v>
      </c>
      <c r="O4720" s="31">
        <f>ROUND(PRODUCT(J4720:N4720),2)</f>
        <v>2</v>
      </c>
      <c r="P4720" s="185"/>
    </row>
    <row r="4721" spans="1:17" ht="30" hidden="1" outlineLevel="1">
      <c r="A4721" s="2">
        <v>10</v>
      </c>
      <c r="B4721" s="2">
        <v>11</v>
      </c>
      <c r="C4721" s="2">
        <v>3</v>
      </c>
      <c r="D4721" s="2">
        <f>D4719+1</f>
        <v>17</v>
      </c>
      <c r="E4721" s="20" t="str">
        <f>CONCATENATE(A4721,".",B4721,".",C4721,".",D4721)</f>
        <v>10.11.3.17</v>
      </c>
      <c r="F4721" s="21" t="s">
        <v>5166</v>
      </c>
      <c r="G4721" s="22" t="s">
        <v>5167</v>
      </c>
      <c r="H4721" s="23" t="s">
        <v>3339</v>
      </c>
      <c r="I4721" s="24" t="s">
        <v>36</v>
      </c>
      <c r="J4721" s="32"/>
      <c r="K4721" s="10"/>
      <c r="L4721" s="32"/>
      <c r="M4721" s="10"/>
      <c r="N4721" s="33"/>
      <c r="O4721" s="11">
        <f>SUM(O4722)</f>
        <v>4</v>
      </c>
      <c r="P4721" s="185"/>
      <c r="Q4721" s="185"/>
    </row>
    <row r="4722" spans="1:17" hidden="1" outlineLevel="2">
      <c r="E4722" s="72"/>
      <c r="F4722" s="21"/>
      <c r="G4722" s="34"/>
      <c r="H4722" s="30"/>
      <c r="I4722" s="35"/>
      <c r="J4722" s="41"/>
      <c r="K4722" s="10"/>
      <c r="L4722" s="32"/>
      <c r="M4722" s="10"/>
      <c r="N4722" s="33">
        <v>4</v>
      </c>
      <c r="O4722" s="31">
        <f>ROUND(PRODUCT(J4722:N4722),2)</f>
        <v>4</v>
      </c>
      <c r="P4722" s="185"/>
    </row>
    <row r="4723" spans="1:17" ht="30" hidden="1" outlineLevel="1">
      <c r="A4723" s="2">
        <v>10</v>
      </c>
      <c r="B4723" s="2">
        <v>11</v>
      </c>
      <c r="C4723" s="2">
        <v>3</v>
      </c>
      <c r="D4723" s="2">
        <f>D4721+1</f>
        <v>18</v>
      </c>
      <c r="E4723" s="20" t="str">
        <f>CONCATENATE(A4723,".",B4723,".",C4723,".",D4723)</f>
        <v>10.11.3.18</v>
      </c>
      <c r="F4723" s="21" t="s">
        <v>5168</v>
      </c>
      <c r="G4723" s="22" t="s">
        <v>4587</v>
      </c>
      <c r="H4723" s="23" t="s">
        <v>5169</v>
      </c>
      <c r="I4723" s="24" t="s">
        <v>36</v>
      </c>
      <c r="J4723" s="32"/>
      <c r="K4723" s="10"/>
      <c r="L4723" s="32"/>
      <c r="M4723" s="10"/>
      <c r="N4723" s="33"/>
      <c r="O4723" s="11">
        <f>SUM(O4724)</f>
        <v>6</v>
      </c>
      <c r="P4723" s="185"/>
      <c r="Q4723" s="185"/>
    </row>
    <row r="4724" spans="1:17" hidden="1" outlineLevel="2">
      <c r="E4724" s="72"/>
      <c r="F4724" s="21"/>
      <c r="G4724" s="34"/>
      <c r="H4724" s="30"/>
      <c r="I4724" s="35"/>
      <c r="J4724" s="41"/>
      <c r="K4724" s="10"/>
      <c r="L4724" s="32"/>
      <c r="M4724" s="10"/>
      <c r="N4724" s="33">
        <v>6</v>
      </c>
      <c r="O4724" s="31">
        <f>ROUND(PRODUCT(J4724:N4724),2)</f>
        <v>6</v>
      </c>
      <c r="P4724" s="185"/>
    </row>
    <row r="4725" spans="1:17" ht="30" hidden="1" outlineLevel="1">
      <c r="A4725" s="2">
        <v>10</v>
      </c>
      <c r="B4725" s="2">
        <v>11</v>
      </c>
      <c r="C4725" s="2">
        <v>3</v>
      </c>
      <c r="D4725" s="2">
        <f>D4723+1</f>
        <v>19</v>
      </c>
      <c r="E4725" s="20" t="str">
        <f>CONCATENATE(A4725,".",B4725,".",C4725,".",D4725)</f>
        <v>10.11.3.19</v>
      </c>
      <c r="F4725" s="21" t="s">
        <v>5170</v>
      </c>
      <c r="G4725" s="22" t="s">
        <v>5171</v>
      </c>
      <c r="H4725" s="23" t="s">
        <v>5172</v>
      </c>
      <c r="I4725" s="24"/>
      <c r="J4725" s="32"/>
      <c r="K4725" s="10"/>
      <c r="L4725" s="32"/>
      <c r="M4725" s="10"/>
      <c r="N4725" s="33"/>
      <c r="O4725" s="11">
        <f>SUM(O4726)</f>
        <v>1</v>
      </c>
      <c r="P4725" s="185"/>
      <c r="Q4725" s="185"/>
    </row>
    <row r="4726" spans="1:17" hidden="1" outlineLevel="2">
      <c r="E4726" s="72"/>
      <c r="F4726" s="21"/>
      <c r="G4726" s="34"/>
      <c r="H4726" s="30"/>
      <c r="I4726" s="35"/>
      <c r="J4726" s="41"/>
      <c r="K4726" s="10"/>
      <c r="L4726" s="32"/>
      <c r="M4726" s="10"/>
      <c r="N4726" s="33">
        <v>1</v>
      </c>
      <c r="O4726" s="31">
        <f>ROUND(PRODUCT(J4726:N4726),2)</f>
        <v>1</v>
      </c>
      <c r="P4726" s="185"/>
    </row>
    <row r="4727" spans="1:17" ht="45" hidden="1" outlineLevel="1">
      <c r="A4727" s="2">
        <v>10</v>
      </c>
      <c r="B4727" s="2">
        <v>11</v>
      </c>
      <c r="C4727" s="2">
        <v>3</v>
      </c>
      <c r="D4727" s="2">
        <f>D4725+1</f>
        <v>20</v>
      </c>
      <c r="E4727" s="20" t="str">
        <f>CONCATENATE(A4727,".",B4727,".",C4727,".",D4727)</f>
        <v>10.11.3.20</v>
      </c>
      <c r="F4727" s="21" t="s">
        <v>5173</v>
      </c>
      <c r="G4727" s="22" t="s">
        <v>5174</v>
      </c>
      <c r="H4727" s="23" t="s">
        <v>5138</v>
      </c>
      <c r="I4727" s="24"/>
      <c r="J4727" s="32"/>
      <c r="K4727" s="10"/>
      <c r="L4727" s="32"/>
      <c r="M4727" s="10"/>
      <c r="N4727" s="33"/>
      <c r="O4727" s="11">
        <f>SUM(O4728)</f>
        <v>2</v>
      </c>
      <c r="P4727" s="185"/>
      <c r="Q4727" s="185"/>
    </row>
    <row r="4728" spans="1:17" hidden="1" outlineLevel="2">
      <c r="E4728" s="72"/>
      <c r="F4728" s="21"/>
      <c r="G4728" s="34"/>
      <c r="H4728" s="30"/>
      <c r="I4728" s="35"/>
      <c r="J4728" s="41"/>
      <c r="K4728" s="10"/>
      <c r="L4728" s="32"/>
      <c r="M4728" s="10"/>
      <c r="N4728" s="33">
        <v>2</v>
      </c>
      <c r="O4728" s="31">
        <f>ROUND(PRODUCT(J4728:N4728),2)</f>
        <v>2</v>
      </c>
      <c r="P4728" s="185"/>
    </row>
    <row r="4729" spans="1:17" hidden="1" outlineLevel="1">
      <c r="A4729" s="2">
        <v>10</v>
      </c>
      <c r="B4729" s="2">
        <v>11</v>
      </c>
      <c r="C4729" s="2">
        <v>3</v>
      </c>
      <c r="D4729" s="2">
        <f>D4727+1</f>
        <v>21</v>
      </c>
      <c r="E4729" s="20" t="str">
        <f>CONCATENATE(A4729,".",B4729,".",C4729,".",D4729)</f>
        <v>10.11.3.21</v>
      </c>
      <c r="F4729" s="21" t="s">
        <v>5175</v>
      </c>
      <c r="G4729" s="22" t="s">
        <v>5176</v>
      </c>
      <c r="H4729" s="23" t="s">
        <v>1611</v>
      </c>
      <c r="I4729" s="24"/>
      <c r="J4729" s="32"/>
      <c r="K4729" s="10"/>
      <c r="L4729" s="32"/>
      <c r="M4729" s="10"/>
      <c r="N4729" s="33"/>
      <c r="O4729" s="11">
        <f>SUM(O4730)</f>
        <v>7</v>
      </c>
      <c r="P4729" s="185"/>
    </row>
    <row r="4730" spans="1:17" hidden="1" outlineLevel="2">
      <c r="E4730" s="72"/>
      <c r="F4730" s="21"/>
      <c r="G4730" s="22"/>
      <c r="H4730" s="23"/>
      <c r="I4730" s="35"/>
      <c r="J4730" s="41"/>
      <c r="K4730" s="10"/>
      <c r="L4730" s="32"/>
      <c r="M4730" s="10"/>
      <c r="N4730" s="33">
        <v>7</v>
      </c>
      <c r="O4730" s="31">
        <f>ROUND(PRODUCT(J4730:N4730),2)</f>
        <v>7</v>
      </c>
      <c r="P4730" s="185"/>
    </row>
    <row r="4731" spans="1:17" collapsed="1">
      <c r="A4731" s="2">
        <v>10</v>
      </c>
      <c r="B4731" s="2">
        <v>11</v>
      </c>
      <c r="C4731" s="2">
        <v>4</v>
      </c>
      <c r="E4731" s="42" t="str">
        <f>CONCATENATE(A4731,".",B4731,".",C4731)</f>
        <v>10.11.4</v>
      </c>
      <c r="F4731" s="45" t="s">
        <v>5026</v>
      </c>
      <c r="G4731" s="13"/>
      <c r="H4731" s="14" t="s">
        <v>835</v>
      </c>
      <c r="I4731" s="15"/>
      <c r="J4731" s="16"/>
      <c r="K4731" s="17"/>
      <c r="L4731" s="16"/>
      <c r="M4731" s="17"/>
      <c r="N4731" s="18"/>
      <c r="O4731" s="19"/>
      <c r="P4731" s="185"/>
      <c r="Q4731" s="185"/>
    </row>
    <row r="4732" spans="1:17" ht="45" hidden="1" outlineLevel="1">
      <c r="A4732" s="2">
        <v>10</v>
      </c>
      <c r="B4732" s="2">
        <v>11</v>
      </c>
      <c r="C4732" s="2">
        <v>4</v>
      </c>
      <c r="D4732" s="2">
        <v>1</v>
      </c>
      <c r="E4732" s="20" t="str">
        <f>CONCATENATE(A4732,".",B4732,".",C4732,".",D4732)</f>
        <v>10.11.4.1</v>
      </c>
      <c r="F4732" s="21" t="s">
        <v>5177</v>
      </c>
      <c r="G4732" s="22">
        <v>89587</v>
      </c>
      <c r="H4732" s="23" t="s">
        <v>847</v>
      </c>
      <c r="I4732" s="24" t="s">
        <v>36</v>
      </c>
      <c r="J4732" s="32"/>
      <c r="K4732" s="10"/>
      <c r="L4732" s="32"/>
      <c r="M4732" s="10"/>
      <c r="N4732" s="33"/>
      <c r="O4732" s="11">
        <f>SUM(O4733)</f>
        <v>16</v>
      </c>
      <c r="P4732" s="185"/>
    </row>
    <row r="4733" spans="1:17" hidden="1" outlineLevel="2">
      <c r="E4733" s="59"/>
      <c r="F4733" s="60"/>
      <c r="G4733" s="22"/>
      <c r="H4733" s="23"/>
      <c r="I4733" s="35"/>
      <c r="J4733" s="41"/>
      <c r="K4733" s="10"/>
      <c r="L4733" s="32"/>
      <c r="M4733" s="10"/>
      <c r="N4733" s="33">
        <v>16</v>
      </c>
      <c r="O4733" s="31">
        <f>ROUND(PRODUCT(J4733:N4733),2)</f>
        <v>16</v>
      </c>
      <c r="P4733" s="185"/>
    </row>
    <row r="4734" spans="1:17" hidden="1" outlineLevel="1">
      <c r="A4734" s="2">
        <v>10</v>
      </c>
      <c r="B4734" s="2">
        <v>11</v>
      </c>
      <c r="C4734" s="2">
        <v>4</v>
      </c>
      <c r="D4734" s="2">
        <f>D4732+1</f>
        <v>2</v>
      </c>
      <c r="E4734" s="20" t="str">
        <f>CONCATENATE(A4734,".",B4734,".",C4734,".",D4734)</f>
        <v>10.11.4.2</v>
      </c>
      <c r="F4734" s="21" t="s">
        <v>5178</v>
      </c>
      <c r="G4734" s="22">
        <v>453</v>
      </c>
      <c r="H4734" s="23" t="s">
        <v>865</v>
      </c>
      <c r="I4734" s="24" t="s">
        <v>36</v>
      </c>
      <c r="J4734" s="32"/>
      <c r="K4734" s="10"/>
      <c r="L4734" s="32"/>
      <c r="M4734" s="10"/>
      <c r="N4734" s="33"/>
      <c r="O4734" s="11">
        <f>SUM(O4735)</f>
        <v>16</v>
      </c>
      <c r="P4734" s="185"/>
    </row>
    <row r="4735" spans="1:17" hidden="1" outlineLevel="2">
      <c r="E4735" s="59"/>
      <c r="F4735" s="60"/>
      <c r="G4735" s="22"/>
      <c r="H4735" s="23"/>
      <c r="I4735" s="35"/>
      <c r="J4735" s="41"/>
      <c r="K4735" s="10"/>
      <c r="L4735" s="32"/>
      <c r="M4735" s="10"/>
      <c r="N4735" s="33">
        <v>16</v>
      </c>
      <c r="O4735" s="31">
        <f>ROUND(PRODUCT(J4735:N4735),2)</f>
        <v>16</v>
      </c>
      <c r="P4735" s="185"/>
    </row>
    <row r="4736" spans="1:17" ht="30" hidden="1" outlineLevel="1">
      <c r="A4736" s="2">
        <v>10</v>
      </c>
      <c r="B4736" s="2">
        <v>11</v>
      </c>
      <c r="C4736" s="2">
        <v>4</v>
      </c>
      <c r="D4736" s="2">
        <f>D4734+1</f>
        <v>3</v>
      </c>
      <c r="E4736" s="20" t="str">
        <f>CONCATENATE(A4736,".",B4736,".",C4736,".",D4736)</f>
        <v>10.11.4.3</v>
      </c>
      <c r="F4736" s="21" t="s">
        <v>5179</v>
      </c>
      <c r="G4736" s="22">
        <v>89512</v>
      </c>
      <c r="H4736" s="23" t="s">
        <v>838</v>
      </c>
      <c r="I4736" s="24" t="s">
        <v>144</v>
      </c>
      <c r="J4736" s="32"/>
      <c r="K4736" s="10"/>
      <c r="L4736" s="32"/>
      <c r="M4736" s="10"/>
      <c r="N4736" s="33"/>
      <c r="O4736" s="11">
        <f>SUM(O4737)</f>
        <v>134.9</v>
      </c>
      <c r="P4736" s="185"/>
    </row>
    <row r="4737" spans="1:16" hidden="1" outlineLevel="2">
      <c r="E4737" s="59"/>
      <c r="F4737" s="60"/>
      <c r="G4737" s="22"/>
      <c r="H4737" s="23"/>
      <c r="I4737" s="35"/>
      <c r="J4737" s="41"/>
      <c r="K4737" s="10"/>
      <c r="L4737" s="32"/>
      <c r="M4737" s="10"/>
      <c r="N4737" s="33">
        <v>134.9</v>
      </c>
      <c r="O4737" s="31">
        <f>ROUND(PRODUCT(J4737:N4737),2)</f>
        <v>134.9</v>
      </c>
      <c r="P4737" s="185"/>
    </row>
    <row r="4738" spans="1:16" ht="30" hidden="1" outlineLevel="1">
      <c r="A4738" s="2">
        <v>10</v>
      </c>
      <c r="B4738" s="2">
        <v>11</v>
      </c>
      <c r="C4738" s="2">
        <v>4</v>
      </c>
      <c r="D4738" s="2">
        <f>D4736+1</f>
        <v>4</v>
      </c>
      <c r="E4738" s="20" t="str">
        <f>CONCATENATE(A4738,".",B4738,".",C4738,".",D4738)</f>
        <v>10.11.4.4</v>
      </c>
      <c r="F4738" s="21" t="s">
        <v>5180</v>
      </c>
      <c r="G4738" s="22">
        <v>104166</v>
      </c>
      <c r="H4738" s="23" t="s">
        <v>841</v>
      </c>
      <c r="I4738" s="24" t="s">
        <v>144</v>
      </c>
      <c r="J4738" s="32"/>
      <c r="K4738" s="10"/>
      <c r="L4738" s="32"/>
      <c r="M4738" s="10"/>
      <c r="N4738" s="33"/>
      <c r="O4738" s="11">
        <f>SUM(O4739)</f>
        <v>17.13</v>
      </c>
      <c r="P4738" s="185"/>
    </row>
    <row r="4739" spans="1:16" hidden="1" outlineLevel="2">
      <c r="E4739" s="59"/>
      <c r="F4739" s="60"/>
      <c r="G4739" s="22"/>
      <c r="H4739" s="23"/>
      <c r="I4739" s="35"/>
      <c r="J4739" s="41"/>
      <c r="K4739" s="10"/>
      <c r="L4739" s="32"/>
      <c r="M4739" s="10"/>
      <c r="N4739" s="33">
        <v>17.13</v>
      </c>
      <c r="O4739" s="31">
        <f>ROUND(PRODUCT(J4739:N4739),2)</f>
        <v>17.13</v>
      </c>
      <c r="P4739" s="185"/>
    </row>
    <row r="4740" spans="1:16" ht="45" hidden="1" outlineLevel="1">
      <c r="A4740" s="2">
        <v>10</v>
      </c>
      <c r="B4740" s="2">
        <v>11</v>
      </c>
      <c r="C4740" s="2">
        <v>4</v>
      </c>
      <c r="D4740" s="2">
        <f>D4738+1</f>
        <v>5</v>
      </c>
      <c r="E4740" s="20" t="str">
        <f>CONCATENATE(A4740,".",B4740,".",C4740,".",D4740)</f>
        <v>10.11.4.5</v>
      </c>
      <c r="F4740" s="21" t="s">
        <v>5181</v>
      </c>
      <c r="G4740" s="22">
        <v>89585</v>
      </c>
      <c r="H4740" s="23" t="s">
        <v>853</v>
      </c>
      <c r="I4740" s="24" t="s">
        <v>36</v>
      </c>
      <c r="J4740" s="32"/>
      <c r="K4740" s="10"/>
      <c r="L4740" s="32"/>
      <c r="M4740" s="10"/>
      <c r="N4740" s="33"/>
      <c r="O4740" s="11">
        <f>SUM(O4741)</f>
        <v>32</v>
      </c>
      <c r="P4740" s="185"/>
    </row>
    <row r="4741" spans="1:16" hidden="1" outlineLevel="2">
      <c r="E4741" s="59"/>
      <c r="F4741" s="60"/>
      <c r="G4741" s="22"/>
      <c r="H4741" s="23"/>
      <c r="I4741" s="35"/>
      <c r="J4741" s="41"/>
      <c r="K4741" s="10"/>
      <c r="L4741" s="32"/>
      <c r="M4741" s="10"/>
      <c r="N4741" s="33">
        <v>32</v>
      </c>
      <c r="O4741" s="31">
        <f>ROUND(PRODUCT(J4741:N4741),2)</f>
        <v>32</v>
      </c>
      <c r="P4741" s="185"/>
    </row>
    <row r="4742" spans="1:16" ht="30" hidden="1" outlineLevel="1">
      <c r="A4742" s="2">
        <v>10</v>
      </c>
      <c r="B4742" s="2">
        <v>11</v>
      </c>
      <c r="C4742" s="2">
        <v>4</v>
      </c>
      <c r="D4742" s="2">
        <f>D4740+1</f>
        <v>6</v>
      </c>
      <c r="E4742" s="20" t="str">
        <f>CONCATENATE(A4742,".",B4742,".",C4742,".",D4742)</f>
        <v>10.11.4.6</v>
      </c>
      <c r="F4742" s="21" t="s">
        <v>5182</v>
      </c>
      <c r="G4742" s="22">
        <v>1127</v>
      </c>
      <c r="H4742" s="23" t="s">
        <v>856</v>
      </c>
      <c r="I4742" s="24" t="s">
        <v>36</v>
      </c>
      <c r="J4742" s="32"/>
      <c r="K4742" s="10"/>
      <c r="L4742" s="32"/>
      <c r="M4742" s="10"/>
      <c r="N4742" s="33"/>
      <c r="O4742" s="11">
        <f>SUM(O4743)</f>
        <v>16</v>
      </c>
      <c r="P4742" s="185"/>
    </row>
    <row r="4743" spans="1:16" hidden="1" outlineLevel="2">
      <c r="E4743" s="59"/>
      <c r="F4743" s="60"/>
      <c r="G4743" s="22"/>
      <c r="H4743" s="23"/>
      <c r="I4743" s="35"/>
      <c r="J4743" s="41"/>
      <c r="K4743" s="10"/>
      <c r="L4743" s="32"/>
      <c r="M4743" s="10"/>
      <c r="N4743" s="33">
        <v>16</v>
      </c>
      <c r="O4743" s="31">
        <f>ROUND(PRODUCT(J4743:N4743),2)</f>
        <v>16</v>
      </c>
      <c r="P4743" s="185"/>
    </row>
    <row r="4744" spans="1:16" collapsed="1">
      <c r="A4744" s="2">
        <v>10</v>
      </c>
      <c r="B4744" s="2">
        <v>12</v>
      </c>
      <c r="E4744" s="42" t="str">
        <f>CONCATENATE(A4744,".",B4744)</f>
        <v>10.12</v>
      </c>
      <c r="F4744" s="45" t="s">
        <v>5183</v>
      </c>
      <c r="G4744" s="13"/>
      <c r="H4744" s="14" t="s">
        <v>2022</v>
      </c>
      <c r="I4744" s="15"/>
      <c r="J4744" s="16"/>
      <c r="K4744" s="17"/>
      <c r="L4744" s="16"/>
      <c r="M4744" s="17"/>
      <c r="N4744" s="18"/>
      <c r="O4744" s="19"/>
      <c r="P4744" s="185"/>
    </row>
    <row r="4745" spans="1:16" ht="30" hidden="1" outlineLevel="1">
      <c r="A4745" s="2">
        <v>10</v>
      </c>
      <c r="B4745" s="2">
        <v>12</v>
      </c>
      <c r="C4745" s="2">
        <v>1</v>
      </c>
      <c r="E4745" s="20" t="str">
        <f>CONCATENATE(A4745,".",B4745,".",C4745)</f>
        <v>10.12.1</v>
      </c>
      <c r="F4745" s="21" t="s">
        <v>5184</v>
      </c>
      <c r="G4745" s="22">
        <v>97599</v>
      </c>
      <c r="H4745" s="23" t="s">
        <v>2031</v>
      </c>
      <c r="I4745" s="24" t="s">
        <v>36</v>
      </c>
      <c r="J4745" s="32"/>
      <c r="K4745" s="10"/>
      <c r="L4745" s="32"/>
      <c r="M4745" s="10"/>
      <c r="N4745" s="33"/>
      <c r="O4745" s="11">
        <f>SUM(O4746)</f>
        <v>11</v>
      </c>
      <c r="P4745" s="185"/>
    </row>
    <row r="4746" spans="1:16" hidden="1" outlineLevel="2">
      <c r="E4746" s="59"/>
      <c r="F4746" s="60"/>
      <c r="G4746" s="34"/>
      <c r="H4746" s="30"/>
      <c r="I4746" s="35"/>
      <c r="J4746" s="41"/>
      <c r="K4746" s="10"/>
      <c r="L4746" s="32"/>
      <c r="M4746" s="10"/>
      <c r="N4746" s="33">
        <v>11</v>
      </c>
      <c r="O4746" s="31">
        <f>ROUND(PRODUCT(J4746:N4746),2)</f>
        <v>11</v>
      </c>
      <c r="P4746" s="185"/>
    </row>
    <row r="4747" spans="1:16" ht="30" hidden="1" outlineLevel="1">
      <c r="A4747" s="2">
        <v>10</v>
      </c>
      <c r="B4747" s="2">
        <v>12</v>
      </c>
      <c r="C4747" s="2">
        <v>2</v>
      </c>
      <c r="E4747" s="20" t="str">
        <f>CONCATENATE(A4747,".",B4747,".",C4747)</f>
        <v>10.12.2</v>
      </c>
      <c r="F4747" s="21" t="s">
        <v>5185</v>
      </c>
      <c r="G4747" s="22">
        <v>1131</v>
      </c>
      <c r="H4747" s="23" t="s">
        <v>2034</v>
      </c>
      <c r="I4747" s="24" t="s">
        <v>36</v>
      </c>
      <c r="J4747" s="32"/>
      <c r="K4747" s="10"/>
      <c r="L4747" s="32"/>
      <c r="M4747" s="10"/>
      <c r="N4747" s="33"/>
      <c r="O4747" s="11">
        <f>SUM(O4748)</f>
        <v>14</v>
      </c>
      <c r="P4747" s="185"/>
    </row>
    <row r="4748" spans="1:16" hidden="1" outlineLevel="2">
      <c r="E4748" s="59"/>
      <c r="F4748" s="60"/>
      <c r="G4748" s="34"/>
      <c r="H4748" s="30"/>
      <c r="I4748" s="35"/>
      <c r="J4748" s="41"/>
      <c r="K4748" s="10"/>
      <c r="L4748" s="32"/>
      <c r="M4748" s="10"/>
      <c r="N4748" s="33">
        <v>14</v>
      </c>
      <c r="O4748" s="31">
        <f>ROUND(PRODUCT(J4748:N4748),2)</f>
        <v>14</v>
      </c>
      <c r="P4748" s="185"/>
    </row>
    <row r="4749" spans="1:16" ht="30" hidden="1" outlineLevel="1">
      <c r="A4749" s="2">
        <v>10</v>
      </c>
      <c r="B4749" s="2">
        <v>12</v>
      </c>
      <c r="C4749" s="2">
        <v>3</v>
      </c>
      <c r="E4749" s="20" t="str">
        <f>CONCATENATE(A4749,".",B4749,".",C4749)</f>
        <v>10.12.3</v>
      </c>
      <c r="F4749" s="21" t="s">
        <v>5186</v>
      </c>
      <c r="G4749" s="22">
        <v>101910</v>
      </c>
      <c r="H4749" s="23" t="s">
        <v>5187</v>
      </c>
      <c r="I4749" s="24" t="s">
        <v>36</v>
      </c>
      <c r="J4749" s="32"/>
      <c r="K4749" s="10"/>
      <c r="L4749" s="32"/>
      <c r="M4749" s="10"/>
      <c r="N4749" s="33"/>
      <c r="O4749" s="11">
        <f>SUM(O4750)</f>
        <v>2</v>
      </c>
      <c r="P4749" s="185"/>
    </row>
    <row r="4750" spans="1:16" hidden="1" outlineLevel="2">
      <c r="E4750" s="59"/>
      <c r="F4750" s="60"/>
      <c r="G4750" s="34"/>
      <c r="H4750" s="30"/>
      <c r="I4750" s="35"/>
      <c r="J4750" s="41"/>
      <c r="K4750" s="10"/>
      <c r="L4750" s="32"/>
      <c r="M4750" s="10"/>
      <c r="N4750" s="33">
        <v>2</v>
      </c>
      <c r="O4750" s="31">
        <f>ROUND(PRODUCT(J4750:N4750),2)</f>
        <v>2</v>
      </c>
      <c r="P4750" s="185"/>
    </row>
    <row r="4751" spans="1:16" ht="45" hidden="1" outlineLevel="2">
      <c r="E4751" s="59"/>
      <c r="F4751" s="21" t="s">
        <v>5188</v>
      </c>
      <c r="G4751" s="22">
        <v>1133</v>
      </c>
      <c r="H4751" s="23" t="s">
        <v>2037</v>
      </c>
      <c r="I4751" s="24" t="s">
        <v>36</v>
      </c>
      <c r="J4751" s="32"/>
      <c r="K4751" s="10"/>
      <c r="L4751" s="32"/>
      <c r="M4751" s="10"/>
      <c r="N4751" s="33"/>
      <c r="O4751" s="11">
        <f>SUM(O4752)</f>
        <v>3</v>
      </c>
      <c r="P4751" s="185"/>
    </row>
    <row r="4752" spans="1:16" hidden="1" outlineLevel="2">
      <c r="E4752" s="59"/>
      <c r="F4752" s="60"/>
      <c r="G4752" s="34"/>
      <c r="H4752" s="30"/>
      <c r="I4752" s="35"/>
      <c r="J4752" s="41"/>
      <c r="K4752" s="10"/>
      <c r="L4752" s="32"/>
      <c r="M4752" s="10"/>
      <c r="N4752" s="33">
        <v>3</v>
      </c>
      <c r="O4752" s="31">
        <f>ROUND(PRODUCT(J4752:N4752),2)</f>
        <v>3</v>
      </c>
      <c r="P4752" s="185"/>
    </row>
    <row r="4753" spans="1:16" hidden="1" outlineLevel="2">
      <c r="E4753" s="59"/>
      <c r="F4753" s="21" t="s">
        <v>5189</v>
      </c>
      <c r="G4753" s="22">
        <v>1137</v>
      </c>
      <c r="H4753" s="23" t="s">
        <v>2040</v>
      </c>
      <c r="I4753" s="24" t="s">
        <v>144</v>
      </c>
      <c r="J4753" s="32"/>
      <c r="K4753" s="10"/>
      <c r="L4753" s="32"/>
      <c r="M4753" s="10"/>
      <c r="N4753" s="33"/>
      <c r="O4753" s="11">
        <f>SUM(O4754)</f>
        <v>39.15</v>
      </c>
      <c r="P4753" s="185"/>
    </row>
    <row r="4754" spans="1:16" hidden="1" outlineLevel="2">
      <c r="E4754" s="59"/>
      <c r="F4754" s="60"/>
      <c r="G4754" s="34"/>
      <c r="H4754" s="30"/>
      <c r="I4754" s="35"/>
      <c r="J4754" s="41"/>
      <c r="K4754" s="10"/>
      <c r="L4754" s="32"/>
      <c r="M4754" s="10"/>
      <c r="N4754" s="33">
        <v>39.15</v>
      </c>
      <c r="O4754" s="31">
        <f>ROUND(PRODUCT(J4754:N4754),2)</f>
        <v>39.15</v>
      </c>
      <c r="P4754" s="185"/>
    </row>
    <row r="4755" spans="1:16" ht="30" hidden="1" outlineLevel="2">
      <c r="E4755" s="59"/>
      <c r="F4755" s="21" t="s">
        <v>5190</v>
      </c>
      <c r="G4755" s="22">
        <v>95795</v>
      </c>
      <c r="H4755" s="23" t="s">
        <v>2043</v>
      </c>
      <c r="I4755" s="24" t="s">
        <v>36</v>
      </c>
      <c r="J4755" s="32"/>
      <c r="K4755" s="10"/>
      <c r="L4755" s="32"/>
      <c r="M4755" s="10"/>
      <c r="N4755" s="33"/>
      <c r="O4755" s="11">
        <f>SUM(O4756)</f>
        <v>5</v>
      </c>
      <c r="P4755" s="185"/>
    </row>
    <row r="4756" spans="1:16" hidden="1" outlineLevel="2">
      <c r="E4756" s="59"/>
      <c r="F4756" s="60"/>
      <c r="G4756" s="34"/>
      <c r="H4756" s="30"/>
      <c r="I4756" s="35"/>
      <c r="J4756" s="41"/>
      <c r="K4756" s="10"/>
      <c r="L4756" s="32"/>
      <c r="M4756" s="10"/>
      <c r="N4756" s="33">
        <v>5</v>
      </c>
      <c r="O4756" s="31">
        <f>ROUND(PRODUCT(J4756:N4756),2)</f>
        <v>5</v>
      </c>
      <c r="P4756" s="185"/>
    </row>
    <row r="4757" spans="1:16" collapsed="1">
      <c r="A4757" s="2">
        <v>10</v>
      </c>
      <c r="B4757" s="2">
        <v>13</v>
      </c>
      <c r="E4757" s="44" t="s">
        <v>4910</v>
      </c>
      <c r="F4757" s="108" t="s">
        <v>5191</v>
      </c>
      <c r="G4757" s="98"/>
      <c r="H4757" s="99" t="s">
        <v>3371</v>
      </c>
      <c r="I4757" s="15"/>
      <c r="J4757" s="16"/>
      <c r="K4757" s="17"/>
      <c r="L4757" s="16"/>
      <c r="M4757" s="17"/>
      <c r="N4757" s="18"/>
      <c r="O4757" s="19"/>
      <c r="P4757" s="185"/>
    </row>
    <row r="4758" spans="1:16" ht="30" hidden="1" outlineLevel="1">
      <c r="A4758" s="2">
        <v>10</v>
      </c>
      <c r="B4758" s="2">
        <v>13</v>
      </c>
      <c r="C4758" s="2">
        <f>C4757+1</f>
        <v>1</v>
      </c>
      <c r="E4758" s="20" t="str">
        <f>CONCATENATE(A4758,".",B4758,".",C4758)</f>
        <v>10.13.1</v>
      </c>
      <c r="F4758" s="21" t="s">
        <v>5192</v>
      </c>
      <c r="G4758" s="22">
        <v>95728</v>
      </c>
      <c r="H4758" s="23" t="s">
        <v>5193</v>
      </c>
      <c r="I4758" s="24" t="s">
        <v>144</v>
      </c>
      <c r="J4758" s="32"/>
      <c r="K4758" s="10"/>
      <c r="L4758" s="32"/>
      <c r="M4758" s="10"/>
      <c r="N4758" s="33"/>
      <c r="O4758" s="11">
        <f>SUM(O4759)</f>
        <v>89</v>
      </c>
      <c r="P4758" s="185"/>
    </row>
    <row r="4759" spans="1:16" hidden="1" outlineLevel="2">
      <c r="E4759" s="59"/>
      <c r="F4759" s="60"/>
      <c r="G4759" s="34"/>
      <c r="H4759" s="30"/>
      <c r="I4759" s="35"/>
      <c r="J4759" s="41"/>
      <c r="K4759" s="10"/>
      <c r="L4759" s="32"/>
      <c r="M4759" s="10"/>
      <c r="N4759" s="33">
        <v>89</v>
      </c>
      <c r="O4759" s="31">
        <f>ROUND(PRODUCT(J4759:N4759),2)</f>
        <v>89</v>
      </c>
      <c r="P4759" s="185"/>
    </row>
    <row r="4760" spans="1:16" ht="30" hidden="1" outlineLevel="1">
      <c r="A4760" s="2">
        <v>10</v>
      </c>
      <c r="B4760" s="2">
        <v>13</v>
      </c>
      <c r="C4760" s="2">
        <f>C4758+1</f>
        <v>2</v>
      </c>
      <c r="E4760" s="20" t="str">
        <f>CONCATENATE(A4760,".",B4760,".",C4760)</f>
        <v>10.13.2</v>
      </c>
      <c r="F4760" s="21" t="s">
        <v>5194</v>
      </c>
      <c r="G4760" s="22">
        <v>95802</v>
      </c>
      <c r="H4760" s="23" t="s">
        <v>546</v>
      </c>
      <c r="I4760" s="24" t="s">
        <v>36</v>
      </c>
      <c r="J4760" s="32"/>
      <c r="K4760" s="10"/>
      <c r="L4760" s="32"/>
      <c r="M4760" s="10"/>
      <c r="N4760" s="33"/>
      <c r="O4760" s="11">
        <f>SUM(O4761)</f>
        <v>6</v>
      </c>
      <c r="P4760" s="185"/>
    </row>
    <row r="4761" spans="1:16" hidden="1" outlineLevel="2">
      <c r="E4761" s="59"/>
      <c r="F4761" s="60"/>
      <c r="G4761" s="34"/>
      <c r="H4761" s="30"/>
      <c r="I4761" s="35"/>
      <c r="J4761" s="41"/>
      <c r="K4761" s="10"/>
      <c r="L4761" s="32"/>
      <c r="M4761" s="10"/>
      <c r="N4761" s="33">
        <v>6</v>
      </c>
      <c r="O4761" s="31">
        <f>ROUND(PRODUCT(J4761:N4761),2)</f>
        <v>6</v>
      </c>
      <c r="P4761" s="185"/>
    </row>
    <row r="4762" spans="1:16" hidden="1" outlineLevel="1">
      <c r="A4762" s="2">
        <v>10</v>
      </c>
      <c r="B4762" s="2">
        <v>13</v>
      </c>
      <c r="C4762" s="2">
        <f>C4760+1</f>
        <v>3</v>
      </c>
      <c r="E4762" s="20" t="str">
        <f>CONCATENATE(A4762,".",B4762,".",C4762)</f>
        <v>10.13.3</v>
      </c>
      <c r="F4762" s="21" t="s">
        <v>5195</v>
      </c>
      <c r="G4762" s="22" t="s">
        <v>3976</v>
      </c>
      <c r="H4762" s="23" t="s">
        <v>3977</v>
      </c>
      <c r="I4762" s="24" t="s">
        <v>36</v>
      </c>
      <c r="J4762" s="32"/>
      <c r="K4762" s="10"/>
      <c r="L4762" s="32"/>
      <c r="M4762" s="10"/>
      <c r="N4762" s="33"/>
      <c r="O4762" s="11">
        <f>SUM(O4763)</f>
        <v>4</v>
      </c>
      <c r="P4762" s="185"/>
    </row>
    <row r="4763" spans="1:16" hidden="1" outlineLevel="2">
      <c r="E4763" s="59"/>
      <c r="F4763" s="60"/>
      <c r="G4763" s="34"/>
      <c r="H4763" s="30"/>
      <c r="I4763" s="35"/>
      <c r="J4763" s="41"/>
      <c r="K4763" s="10"/>
      <c r="L4763" s="32"/>
      <c r="M4763" s="10"/>
      <c r="N4763" s="33">
        <v>4</v>
      </c>
      <c r="O4763" s="31">
        <f>ROUND(PRODUCT(J4763:N4763),2)</f>
        <v>4</v>
      </c>
      <c r="P4763" s="185"/>
    </row>
    <row r="4764" spans="1:16" hidden="1" outlineLevel="1">
      <c r="A4764" s="2">
        <v>10</v>
      </c>
      <c r="B4764" s="2">
        <v>13</v>
      </c>
      <c r="C4764" s="2">
        <f>C4762+1</f>
        <v>4</v>
      </c>
      <c r="E4764" s="20" t="str">
        <f>CONCATENATE(A4764,".",B4764,".",C4764)</f>
        <v>10.13.4</v>
      </c>
      <c r="F4764" s="21" t="s">
        <v>5196</v>
      </c>
      <c r="G4764" s="22" t="s">
        <v>3981</v>
      </c>
      <c r="H4764" s="23" t="s">
        <v>3479</v>
      </c>
      <c r="I4764" s="24" t="s">
        <v>36</v>
      </c>
      <c r="J4764" s="32"/>
      <c r="K4764" s="10"/>
      <c r="L4764" s="32"/>
      <c r="M4764" s="10"/>
      <c r="N4764" s="33"/>
      <c r="O4764" s="11">
        <f>SUM(O4765)</f>
        <v>1</v>
      </c>
      <c r="P4764" s="185"/>
    </row>
    <row r="4765" spans="1:16" hidden="1" outlineLevel="2">
      <c r="E4765" s="59"/>
      <c r="F4765" s="60"/>
      <c r="G4765" s="34"/>
      <c r="H4765" s="30"/>
      <c r="I4765" s="35"/>
      <c r="J4765" s="41"/>
      <c r="K4765" s="10"/>
      <c r="L4765" s="32"/>
      <c r="M4765" s="10"/>
      <c r="N4765" s="33">
        <v>1</v>
      </c>
      <c r="O4765" s="31">
        <f>ROUND(PRODUCT(J4765:N4765),2)</f>
        <v>1</v>
      </c>
      <c r="P4765" s="185"/>
    </row>
    <row r="4766" spans="1:16" hidden="1" outlineLevel="1">
      <c r="A4766" s="2">
        <v>10</v>
      </c>
      <c r="B4766" s="2">
        <v>13</v>
      </c>
      <c r="C4766" s="2">
        <f>C4764+1</f>
        <v>5</v>
      </c>
      <c r="E4766" s="20" t="str">
        <f>CONCATENATE(A4766,".",B4766,".",C4766)</f>
        <v>10.13.5</v>
      </c>
      <c r="F4766" s="21" t="s">
        <v>5197</v>
      </c>
      <c r="G4766" s="22" t="s">
        <v>4327</v>
      </c>
      <c r="H4766" s="23" t="s">
        <v>4328</v>
      </c>
      <c r="I4766" s="24" t="s">
        <v>36</v>
      </c>
      <c r="J4766" s="32"/>
      <c r="K4766" s="10"/>
      <c r="L4766" s="32"/>
      <c r="M4766" s="10"/>
      <c r="N4766" s="33"/>
      <c r="O4766" s="11">
        <f>SUM(O4767)</f>
        <v>1</v>
      </c>
      <c r="P4766" s="185"/>
    </row>
    <row r="4767" spans="1:16" hidden="1" outlineLevel="2">
      <c r="E4767" s="59"/>
      <c r="F4767" s="60"/>
      <c r="G4767" s="34"/>
      <c r="H4767" s="30"/>
      <c r="I4767" s="35"/>
      <c r="J4767" s="41"/>
      <c r="K4767" s="10"/>
      <c r="L4767" s="32"/>
      <c r="M4767" s="10"/>
      <c r="N4767" s="33">
        <v>1</v>
      </c>
      <c r="O4767" s="31">
        <f>ROUND(PRODUCT(J4767:N4767),2)</f>
        <v>1</v>
      </c>
      <c r="P4767" s="185"/>
    </row>
    <row r="4768" spans="1:16" hidden="1" outlineLevel="1">
      <c r="A4768" s="2">
        <v>10</v>
      </c>
      <c r="B4768" s="2">
        <v>13</v>
      </c>
      <c r="C4768" s="2">
        <f>C4766+1</f>
        <v>6</v>
      </c>
      <c r="E4768" s="20" t="str">
        <f>CONCATENATE(A4768,".",B4768,".",C4768)</f>
        <v>10.13.6</v>
      </c>
      <c r="F4768" s="21" t="s">
        <v>5198</v>
      </c>
      <c r="G4768" s="22" t="s">
        <v>5199</v>
      </c>
      <c r="H4768" s="23" t="s">
        <v>5200</v>
      </c>
      <c r="I4768" s="24" t="s">
        <v>36</v>
      </c>
      <c r="J4768" s="32"/>
      <c r="K4768" s="10"/>
      <c r="L4768" s="32"/>
      <c r="M4768" s="10"/>
      <c r="N4768" s="33"/>
      <c r="O4768" s="11">
        <f>SUM(O4769)</f>
        <v>20</v>
      </c>
      <c r="P4768" s="185"/>
    </row>
    <row r="4769" spans="1:16" hidden="1" outlineLevel="2">
      <c r="E4769" s="59"/>
      <c r="F4769" s="60"/>
      <c r="G4769" s="34"/>
      <c r="H4769" s="30"/>
      <c r="I4769" s="35"/>
      <c r="J4769" s="41"/>
      <c r="K4769" s="10"/>
      <c r="L4769" s="32"/>
      <c r="M4769" s="10"/>
      <c r="N4769" s="33">
        <v>20</v>
      </c>
      <c r="O4769" s="31">
        <f>ROUND(PRODUCT(J4769:N4769),2)</f>
        <v>20</v>
      </c>
      <c r="P4769" s="185"/>
    </row>
    <row r="4770" spans="1:16" hidden="1" outlineLevel="1">
      <c r="A4770" s="2">
        <v>10</v>
      </c>
      <c r="B4770" s="2">
        <v>13</v>
      </c>
      <c r="C4770" s="2">
        <f>C4768+1</f>
        <v>7</v>
      </c>
      <c r="E4770" s="20" t="str">
        <f>CONCATENATE(A4770,".",B4770,".",C4770)</f>
        <v>10.13.7</v>
      </c>
      <c r="F4770" s="21" t="s">
        <v>5201</v>
      </c>
      <c r="G4770" s="22" t="s">
        <v>5202</v>
      </c>
      <c r="H4770" s="23" t="s">
        <v>5203</v>
      </c>
      <c r="I4770" s="24" t="s">
        <v>36</v>
      </c>
      <c r="J4770" s="32"/>
      <c r="K4770" s="10"/>
      <c r="L4770" s="32"/>
      <c r="M4770" s="10"/>
      <c r="N4770" s="33"/>
      <c r="O4770" s="11">
        <f>SUM(O4771)</f>
        <v>6</v>
      </c>
      <c r="P4770" s="185"/>
    </row>
    <row r="4771" spans="1:16" hidden="1" outlineLevel="2">
      <c r="E4771" s="59"/>
      <c r="F4771" s="60"/>
      <c r="G4771" s="34"/>
      <c r="H4771" s="30"/>
      <c r="I4771" s="35"/>
      <c r="J4771" s="41"/>
      <c r="K4771" s="10"/>
      <c r="L4771" s="32"/>
      <c r="M4771" s="10"/>
      <c r="N4771" s="33">
        <v>6</v>
      </c>
      <c r="O4771" s="31">
        <f>ROUND(PRODUCT(J4771:N4771),2)</f>
        <v>6</v>
      </c>
      <c r="P4771" s="185"/>
    </row>
    <row r="4772" spans="1:16" hidden="1" outlineLevel="1">
      <c r="A4772" s="2">
        <v>10</v>
      </c>
      <c r="B4772" s="2">
        <v>13</v>
      </c>
      <c r="C4772" s="2">
        <f>C4770+1</f>
        <v>8</v>
      </c>
      <c r="E4772" s="20" t="str">
        <f>CONCATENATE(A4772,".",B4772,".",C4772)</f>
        <v>10.13.8</v>
      </c>
      <c r="F4772" s="21" t="s">
        <v>5204</v>
      </c>
      <c r="G4772" s="22" t="s">
        <v>3999</v>
      </c>
      <c r="H4772" s="23" t="s">
        <v>4000</v>
      </c>
      <c r="I4772" s="24" t="s">
        <v>144</v>
      </c>
      <c r="J4772" s="32"/>
      <c r="K4772" s="10"/>
      <c r="L4772" s="32"/>
      <c r="M4772" s="10"/>
      <c r="N4772" s="33"/>
      <c r="O4772" s="11">
        <f>SUM(O4773)</f>
        <v>115.7</v>
      </c>
      <c r="P4772" s="185"/>
    </row>
    <row r="4773" spans="1:16" hidden="1" outlineLevel="2">
      <c r="E4773" s="59"/>
      <c r="F4773" s="60"/>
      <c r="G4773" s="34"/>
      <c r="H4773" s="30"/>
      <c r="I4773" s="35"/>
      <c r="J4773" s="41"/>
      <c r="K4773" s="10"/>
      <c r="L4773" s="32"/>
      <c r="M4773" s="10"/>
      <c r="N4773" s="33">
        <v>115.7</v>
      </c>
      <c r="O4773" s="31">
        <f>ROUND(PRODUCT(J4773:N4773),2)</f>
        <v>115.7</v>
      </c>
      <c r="P4773" s="185"/>
    </row>
    <row r="4774" spans="1:16" collapsed="1">
      <c r="A4774" s="2">
        <v>10</v>
      </c>
      <c r="B4774" s="2">
        <v>15</v>
      </c>
      <c r="E4774" s="42" t="str">
        <f>CONCATENATE(A4774,".",B4774)</f>
        <v>10.15</v>
      </c>
      <c r="F4774" s="45" t="s">
        <v>5205</v>
      </c>
      <c r="G4774" s="13"/>
      <c r="H4774" s="14" t="s">
        <v>876</v>
      </c>
      <c r="I4774" s="15"/>
      <c r="J4774" s="16"/>
      <c r="K4774" s="17"/>
      <c r="L4774" s="16"/>
      <c r="M4774" s="17"/>
      <c r="N4774" s="18"/>
      <c r="O4774" s="19"/>
      <c r="P4774" s="185"/>
    </row>
    <row r="4775" spans="1:16" ht="30" hidden="1" outlineLevel="1">
      <c r="A4775" s="2">
        <v>10</v>
      </c>
      <c r="B4775" s="2">
        <v>15</v>
      </c>
      <c r="C4775" s="2">
        <f>1+C4774</f>
        <v>1</v>
      </c>
      <c r="E4775" s="20" t="str">
        <f>CONCATENATE(A4775,".",B4775,".",C4775)</f>
        <v>10.15.1</v>
      </c>
      <c r="F4775" s="21" t="s">
        <v>5192</v>
      </c>
      <c r="G4775" s="22" t="s">
        <v>890</v>
      </c>
      <c r="H4775" s="23" t="s">
        <v>891</v>
      </c>
      <c r="I4775" s="24" t="s">
        <v>36</v>
      </c>
      <c r="J4775" s="32"/>
      <c r="K4775" s="10"/>
      <c r="L4775" s="32"/>
      <c r="M4775" s="10"/>
      <c r="N4775" s="33"/>
      <c r="O4775" s="11">
        <f>SUM(O4776)</f>
        <v>1</v>
      </c>
      <c r="P4775" s="185"/>
    </row>
    <row r="4776" spans="1:16" hidden="1" outlineLevel="1">
      <c r="E4776" s="72"/>
      <c r="F4776" s="21"/>
      <c r="G4776" s="34"/>
      <c r="H4776" s="30"/>
      <c r="I4776" s="35"/>
      <c r="J4776" s="41"/>
      <c r="K4776" s="10"/>
      <c r="L4776" s="32"/>
      <c r="M4776" s="10"/>
      <c r="N4776" s="33">
        <v>1</v>
      </c>
      <c r="O4776" s="31">
        <f>ROUND(PRODUCT(J4776:N4776),2)</f>
        <v>1</v>
      </c>
      <c r="P4776" s="185"/>
    </row>
    <row r="4777" spans="1:16" ht="30" hidden="1" outlineLevel="1">
      <c r="A4777" s="2">
        <v>10</v>
      </c>
      <c r="B4777" s="2">
        <v>15</v>
      </c>
      <c r="C4777" s="2">
        <f>1+C4775</f>
        <v>2</v>
      </c>
      <c r="E4777" s="20" t="str">
        <f>CONCATENATE(A4777,".",B4777,".",C4777)</f>
        <v>10.15.2</v>
      </c>
      <c r="F4777" s="21" t="s">
        <v>5194</v>
      </c>
      <c r="G4777" s="22">
        <v>103289</v>
      </c>
      <c r="H4777" s="23" t="s">
        <v>897</v>
      </c>
      <c r="I4777" s="24" t="s">
        <v>144</v>
      </c>
      <c r="J4777" s="32"/>
      <c r="K4777" s="10"/>
      <c r="L4777" s="32"/>
      <c r="M4777" s="10"/>
      <c r="N4777" s="33"/>
      <c r="O4777" s="11">
        <f>SUM(O4778)</f>
        <v>8</v>
      </c>
      <c r="P4777" s="185"/>
    </row>
    <row r="4778" spans="1:16" hidden="1" outlineLevel="1">
      <c r="E4778" s="72"/>
      <c r="F4778" s="21"/>
      <c r="G4778" s="34"/>
      <c r="H4778" s="30"/>
      <c r="I4778" s="35"/>
      <c r="J4778" s="41"/>
      <c r="K4778" s="10"/>
      <c r="L4778" s="32"/>
      <c r="M4778" s="10"/>
      <c r="N4778" s="33">
        <v>8</v>
      </c>
      <c r="O4778" s="31">
        <f>ROUND(PRODUCT(J4778:N4778),2)</f>
        <v>8</v>
      </c>
      <c r="P4778" s="185"/>
    </row>
    <row r="4779" spans="1:16" ht="30" hidden="1" outlineLevel="1">
      <c r="A4779" s="2">
        <v>10</v>
      </c>
      <c r="B4779" s="2">
        <v>15</v>
      </c>
      <c r="C4779" s="2">
        <f>1+C4777</f>
        <v>3</v>
      </c>
      <c r="E4779" s="20" t="str">
        <f>CONCATENATE(A4779,".",B4779,".",C4779)</f>
        <v>10.15.3</v>
      </c>
      <c r="F4779" s="21" t="s">
        <v>5195</v>
      </c>
      <c r="G4779" s="22">
        <v>103291</v>
      </c>
      <c r="H4779" s="23" t="s">
        <v>903</v>
      </c>
      <c r="I4779" s="24" t="s">
        <v>144</v>
      </c>
      <c r="J4779" s="32"/>
      <c r="K4779" s="10"/>
      <c r="L4779" s="32"/>
      <c r="M4779" s="10"/>
      <c r="N4779" s="33"/>
      <c r="O4779" s="11">
        <f>SUM(O4780)</f>
        <v>8</v>
      </c>
      <c r="P4779" s="185"/>
    </row>
    <row r="4780" spans="1:16" hidden="1" outlineLevel="1">
      <c r="E4780" s="72"/>
      <c r="F4780" s="21"/>
      <c r="G4780" s="34"/>
      <c r="H4780" s="30"/>
      <c r="I4780" s="35"/>
      <c r="J4780" s="41"/>
      <c r="K4780" s="10"/>
      <c r="L4780" s="32"/>
      <c r="M4780" s="10"/>
      <c r="N4780" s="33">
        <v>8</v>
      </c>
      <c r="O4780" s="31">
        <f>ROUND(PRODUCT(J4780:N4780),2)</f>
        <v>8</v>
      </c>
      <c r="P4780" s="185"/>
    </row>
    <row r="4781" spans="1:16" ht="30" hidden="1" outlineLevel="1">
      <c r="A4781" s="2">
        <v>10</v>
      </c>
      <c r="B4781" s="2">
        <v>15</v>
      </c>
      <c r="C4781" s="2">
        <f>1+C4779</f>
        <v>4</v>
      </c>
      <c r="E4781" s="20" t="str">
        <f>CONCATENATE(A4781,".",B4781,".",C4781)</f>
        <v>10.15.4</v>
      </c>
      <c r="F4781" s="21" t="s">
        <v>5196</v>
      </c>
      <c r="G4781" s="22">
        <v>1262</v>
      </c>
      <c r="H4781" s="23" t="s">
        <v>937</v>
      </c>
      <c r="I4781" s="24" t="s">
        <v>36</v>
      </c>
      <c r="J4781" s="32"/>
      <c r="K4781" s="10"/>
      <c r="L4781" s="32"/>
      <c r="M4781" s="10"/>
      <c r="N4781" s="33"/>
      <c r="O4781" s="11">
        <f>SUM(O4782)</f>
        <v>4</v>
      </c>
      <c r="P4781" s="185"/>
    </row>
    <row r="4782" spans="1:16" hidden="1" outlineLevel="1">
      <c r="E4782" s="72"/>
      <c r="F4782" s="21"/>
      <c r="G4782" s="34"/>
      <c r="H4782" s="30"/>
      <c r="I4782" s="35"/>
      <c r="J4782" s="41"/>
      <c r="K4782" s="10"/>
      <c r="L4782" s="32"/>
      <c r="M4782" s="10"/>
      <c r="N4782" s="33">
        <v>4</v>
      </c>
      <c r="O4782" s="31">
        <f>ROUND(PRODUCT(J4782:N4782),2)</f>
        <v>4</v>
      </c>
      <c r="P4782" s="185"/>
    </row>
    <row r="4783" spans="1:16" hidden="1" outlineLevel="1">
      <c r="A4783" s="2">
        <v>10</v>
      </c>
      <c r="B4783" s="2">
        <v>15</v>
      </c>
      <c r="C4783" s="2">
        <f>1+C4781</f>
        <v>5</v>
      </c>
      <c r="E4783" s="20" t="str">
        <f>CONCATENATE(A4783,".",B4783,".",C4783)</f>
        <v>10.15.5</v>
      </c>
      <c r="F4783" s="21" t="s">
        <v>5197</v>
      </c>
      <c r="G4783" s="22">
        <v>447</v>
      </c>
      <c r="H4783" s="23" t="s">
        <v>1202</v>
      </c>
      <c r="I4783" s="24" t="s">
        <v>80</v>
      </c>
      <c r="J4783" s="32"/>
      <c r="K4783" s="10"/>
      <c r="L4783" s="32"/>
      <c r="M4783" s="10"/>
      <c r="N4783" s="33"/>
      <c r="O4783" s="11">
        <f>SUM(O4784)</f>
        <v>1</v>
      </c>
      <c r="P4783" s="185"/>
    </row>
    <row r="4784" spans="1:16" hidden="1" outlineLevel="1">
      <c r="E4784" s="72"/>
      <c r="F4784" s="21"/>
      <c r="G4784" s="34"/>
      <c r="H4784" s="30"/>
      <c r="I4784" s="35"/>
      <c r="J4784" s="41"/>
      <c r="K4784" s="10"/>
      <c r="L4784" s="32"/>
      <c r="M4784" s="10"/>
      <c r="N4784" s="33">
        <v>1</v>
      </c>
      <c r="O4784" s="31">
        <f>ROUND(PRODUCT(J4784:N4784),2)</f>
        <v>1</v>
      </c>
      <c r="P4784" s="185"/>
    </row>
    <row r="4785" spans="1:17" hidden="1" outlineLevel="1">
      <c r="A4785" s="2">
        <v>10</v>
      </c>
      <c r="B4785" s="2">
        <v>15</v>
      </c>
      <c r="C4785" s="2">
        <f>1+C4783</f>
        <v>6</v>
      </c>
      <c r="E4785" s="20" t="str">
        <f>CONCATENATE(A4785,".",B4785,".",C4785)</f>
        <v>10.15.6</v>
      </c>
      <c r="F4785" s="21" t="s">
        <v>5198</v>
      </c>
      <c r="G4785" s="22">
        <v>448</v>
      </c>
      <c r="H4785" s="23" t="s">
        <v>945</v>
      </c>
      <c r="I4785" s="24" t="s">
        <v>80</v>
      </c>
      <c r="J4785" s="32"/>
      <c r="K4785" s="10"/>
      <c r="L4785" s="32"/>
      <c r="M4785" s="10"/>
      <c r="N4785" s="33"/>
      <c r="O4785" s="11">
        <f>SUM(O4786)</f>
        <v>1</v>
      </c>
      <c r="P4785" s="185"/>
    </row>
    <row r="4786" spans="1:17" hidden="1" outlineLevel="1">
      <c r="E4786" s="72"/>
      <c r="F4786" s="21"/>
      <c r="G4786" s="34"/>
      <c r="H4786" s="30"/>
      <c r="I4786" s="35"/>
      <c r="J4786" s="41"/>
      <c r="K4786" s="10"/>
      <c r="L4786" s="32"/>
      <c r="M4786" s="10"/>
      <c r="N4786" s="33">
        <v>1</v>
      </c>
      <c r="O4786" s="31">
        <f>ROUND(PRODUCT(J4786:N4786),2)</f>
        <v>1</v>
      </c>
      <c r="P4786" s="185"/>
    </row>
    <row r="4787" spans="1:17" ht="30" hidden="1" outlineLevel="1">
      <c r="E4787" s="72"/>
      <c r="F4787" s="21" t="s">
        <v>5201</v>
      </c>
      <c r="G4787" s="22">
        <v>590</v>
      </c>
      <c r="H4787" s="23" t="s">
        <v>4934</v>
      </c>
      <c r="I4787" s="24" t="s">
        <v>36</v>
      </c>
      <c r="J4787" s="32"/>
      <c r="K4787" s="10"/>
      <c r="L4787" s="32"/>
      <c r="M4787" s="10"/>
      <c r="N4787" s="33"/>
      <c r="O4787" s="11">
        <f>SUM(O4788)</f>
        <v>2</v>
      </c>
      <c r="P4787" s="185"/>
    </row>
    <row r="4788" spans="1:17" hidden="1" outlineLevel="1">
      <c r="E4788" s="72"/>
      <c r="F4788" s="21"/>
      <c r="G4788" s="34"/>
      <c r="H4788" s="30"/>
      <c r="I4788" s="35"/>
      <c r="J4788" s="41"/>
      <c r="K4788" s="10"/>
      <c r="L4788" s="32"/>
      <c r="M4788" s="10"/>
      <c r="N4788" s="33">
        <v>2</v>
      </c>
      <c r="O4788" s="31">
        <f>ROUND(PRODUCT(J4788:N4788),2)</f>
        <v>2</v>
      </c>
      <c r="P4788" s="185"/>
    </row>
    <row r="4789" spans="1:17" ht="30" hidden="1" outlineLevel="1">
      <c r="E4789" s="72"/>
      <c r="F4789" s="21" t="s">
        <v>5204</v>
      </c>
      <c r="G4789" s="22">
        <v>91929</v>
      </c>
      <c r="H4789" s="23" t="s">
        <v>930</v>
      </c>
      <c r="I4789" s="24" t="s">
        <v>144</v>
      </c>
      <c r="J4789" s="32"/>
      <c r="K4789" s="10"/>
      <c r="L4789" s="32"/>
      <c r="M4789" s="10"/>
      <c r="N4789" s="33"/>
      <c r="O4789" s="11">
        <f>SUM(O4790)</f>
        <v>32</v>
      </c>
      <c r="P4789" s="185"/>
    </row>
    <row r="4790" spans="1:17" hidden="1" outlineLevel="1">
      <c r="E4790" s="72"/>
      <c r="F4790" s="21"/>
      <c r="G4790" s="34"/>
      <c r="H4790" s="30"/>
      <c r="I4790" s="35"/>
      <c r="J4790" s="41"/>
      <c r="K4790" s="10"/>
      <c r="L4790" s="32"/>
      <c r="M4790" s="10"/>
      <c r="N4790" s="33">
        <v>32</v>
      </c>
      <c r="O4790" s="31">
        <f>ROUND(PRODUCT(J4790:N4790),2)</f>
        <v>32</v>
      </c>
      <c r="P4790" s="185"/>
    </row>
    <row r="4791" spans="1:17" collapsed="1">
      <c r="E4791" s="42">
        <v>11</v>
      </c>
      <c r="F4791" s="43">
        <v>11</v>
      </c>
      <c r="G4791" s="13"/>
      <c r="H4791" s="14" t="s">
        <v>22</v>
      </c>
      <c r="I4791" s="15"/>
      <c r="J4791" s="16"/>
      <c r="K4791" s="17"/>
      <c r="L4791" s="16"/>
      <c r="M4791" s="17"/>
      <c r="N4791" s="18"/>
      <c r="O4791" s="19"/>
      <c r="P4791" s="185"/>
      <c r="Q4791" s="185"/>
    </row>
    <row r="4792" spans="1:17">
      <c r="A4792" s="2">
        <v>11</v>
      </c>
      <c r="B4792" s="2">
        <v>1</v>
      </c>
      <c r="E4792" s="42" t="str">
        <f>CONCATENATE(A4792,".",B4792)</f>
        <v>11.1</v>
      </c>
      <c r="F4792" s="45" t="s">
        <v>5206</v>
      </c>
      <c r="G4792" s="13"/>
      <c r="H4792" s="14" t="s">
        <v>2215</v>
      </c>
      <c r="I4792" s="15"/>
      <c r="J4792" s="16"/>
      <c r="K4792" s="17"/>
      <c r="L4792" s="16"/>
      <c r="M4792" s="17"/>
      <c r="N4792" s="18"/>
      <c r="O4792" s="19"/>
      <c r="P4792" s="185"/>
      <c r="Q4792" s="185"/>
    </row>
    <row r="4793" spans="1:17" ht="30" hidden="1" outlineLevel="1">
      <c r="A4793" s="2">
        <v>11</v>
      </c>
      <c r="B4793" s="2">
        <v>1</v>
      </c>
      <c r="C4793" s="2">
        <f>C4792+1</f>
        <v>1</v>
      </c>
      <c r="E4793" s="20" t="str">
        <f>CONCATENATE(A4793,".",B4793,".",C4793)</f>
        <v>11.1.1</v>
      </c>
      <c r="F4793" s="21" t="s">
        <v>5207</v>
      </c>
      <c r="G4793" s="22">
        <v>89356</v>
      </c>
      <c r="H4793" s="23" t="s">
        <v>3263</v>
      </c>
      <c r="I4793" s="24" t="s">
        <v>144</v>
      </c>
      <c r="J4793" s="32"/>
      <c r="K4793" s="10"/>
      <c r="L4793" s="32"/>
      <c r="M4793" s="10"/>
      <c r="N4793" s="33"/>
      <c r="O4793" s="11">
        <f>SUM(O4794)</f>
        <v>539.75</v>
      </c>
      <c r="P4793" s="185"/>
    </row>
    <row r="4794" spans="1:17" hidden="1" outlineLevel="2">
      <c r="E4794" s="72"/>
      <c r="F4794" s="21"/>
      <c r="G4794" s="22"/>
      <c r="H4794" s="23"/>
      <c r="I4794" s="35"/>
      <c r="J4794" s="41"/>
      <c r="K4794" s="10"/>
      <c r="L4794" s="32"/>
      <c r="M4794" s="10"/>
      <c r="N4794" s="33">
        <v>539.75</v>
      </c>
      <c r="O4794" s="31">
        <f>ROUND(PRODUCT(J4794:N4794),2)</f>
        <v>539.75</v>
      </c>
      <c r="P4794" s="185"/>
    </row>
    <row r="4795" spans="1:17" ht="30" hidden="1" outlineLevel="1">
      <c r="A4795" s="2">
        <v>11</v>
      </c>
      <c r="B4795" s="2">
        <v>1</v>
      </c>
      <c r="C4795" s="2">
        <f>C4793+1</f>
        <v>2</v>
      </c>
      <c r="E4795" s="20" t="str">
        <f>CONCATENATE(A4795,".",B4795,".",C4795)</f>
        <v>11.1.2</v>
      </c>
      <c r="F4795" s="21" t="s">
        <v>5208</v>
      </c>
      <c r="G4795" s="22">
        <v>89357</v>
      </c>
      <c r="H4795" s="23" t="s">
        <v>3261</v>
      </c>
      <c r="I4795" s="24" t="s">
        <v>144</v>
      </c>
      <c r="J4795" s="32"/>
      <c r="K4795" s="10"/>
      <c r="L4795" s="32"/>
      <c r="M4795" s="10"/>
      <c r="N4795" s="33"/>
      <c r="O4795" s="11">
        <f>SUM(O4796)</f>
        <v>132.85</v>
      </c>
      <c r="P4795" s="185"/>
    </row>
    <row r="4796" spans="1:17" hidden="1" outlineLevel="2">
      <c r="E4796" s="72"/>
      <c r="F4796" s="21"/>
      <c r="G4796" s="22"/>
      <c r="H4796" s="23"/>
      <c r="I4796" s="35"/>
      <c r="J4796" s="41"/>
      <c r="K4796" s="10"/>
      <c r="L4796" s="32"/>
      <c r="M4796" s="10"/>
      <c r="N4796" s="33">
        <v>132.85</v>
      </c>
      <c r="O4796" s="31">
        <f>ROUND(PRODUCT(J4796:N4796),2)</f>
        <v>132.85</v>
      </c>
      <c r="P4796" s="185"/>
    </row>
    <row r="4797" spans="1:17" ht="30" hidden="1" outlineLevel="1">
      <c r="A4797" s="2">
        <v>11</v>
      </c>
      <c r="B4797" s="2">
        <v>1</v>
      </c>
      <c r="C4797" s="2">
        <f>C4795+1</f>
        <v>3</v>
      </c>
      <c r="E4797" s="20" t="str">
        <f>CONCATENATE(A4797,".",B4797,".",C4797)</f>
        <v>11.1.3</v>
      </c>
      <c r="F4797" s="21" t="s">
        <v>5209</v>
      </c>
      <c r="G4797" s="22">
        <v>103979</v>
      </c>
      <c r="H4797" s="23" t="s">
        <v>5210</v>
      </c>
      <c r="I4797" s="24" t="s">
        <v>144</v>
      </c>
      <c r="J4797" s="32"/>
      <c r="K4797" s="10"/>
      <c r="L4797" s="32"/>
      <c r="M4797" s="10"/>
      <c r="N4797" s="33"/>
      <c r="O4797" s="11">
        <f>SUM(O4798)</f>
        <v>213.19</v>
      </c>
      <c r="P4797" s="185"/>
    </row>
    <row r="4798" spans="1:17" hidden="1" outlineLevel="2">
      <c r="E4798" s="72"/>
      <c r="F4798" s="21"/>
      <c r="G4798" s="22"/>
      <c r="H4798" s="23"/>
      <c r="I4798" s="35"/>
      <c r="J4798" s="41"/>
      <c r="K4798" s="10"/>
      <c r="L4798" s="32"/>
      <c r="M4798" s="10"/>
      <c r="N4798" s="33">
        <v>213.19</v>
      </c>
      <c r="O4798" s="31">
        <f>ROUND(PRODUCT(J4798:N4798),2)</f>
        <v>213.19</v>
      </c>
      <c r="P4798" s="185"/>
    </row>
    <row r="4799" spans="1:17" ht="30" hidden="1" outlineLevel="1">
      <c r="A4799" s="2">
        <v>11</v>
      </c>
      <c r="B4799" s="2">
        <v>1</v>
      </c>
      <c r="C4799" s="2">
        <f>C4797+1</f>
        <v>4</v>
      </c>
      <c r="E4799" s="20" t="str">
        <f>CONCATENATE(A4799,".",B4799,".",C4799)</f>
        <v>11.1.4</v>
      </c>
      <c r="F4799" s="21" t="s">
        <v>5211</v>
      </c>
      <c r="G4799" s="22">
        <v>103978</v>
      </c>
      <c r="H4799" s="23" t="s">
        <v>5212</v>
      </c>
      <c r="I4799" s="24" t="s">
        <v>144</v>
      </c>
      <c r="J4799" s="32"/>
      <c r="K4799" s="10"/>
      <c r="L4799" s="32"/>
      <c r="M4799" s="10"/>
      <c r="N4799" s="33"/>
      <c r="O4799" s="11">
        <f>SUM(O4800)</f>
        <v>393</v>
      </c>
      <c r="P4799" s="185"/>
    </row>
    <row r="4800" spans="1:17" hidden="1" outlineLevel="2">
      <c r="E4800" s="72"/>
      <c r="F4800" s="21"/>
      <c r="G4800" s="22"/>
      <c r="H4800" s="23"/>
      <c r="I4800" s="35"/>
      <c r="J4800" s="41"/>
      <c r="K4800" s="10"/>
      <c r="L4800" s="32"/>
      <c r="M4800" s="10"/>
      <c r="N4800" s="33">
        <v>393</v>
      </c>
      <c r="O4800" s="31">
        <f>ROUND(PRODUCT(J4800:N4800),2)</f>
        <v>393</v>
      </c>
      <c r="P4800" s="185"/>
    </row>
    <row r="4801" spans="1:16" ht="30" hidden="1" outlineLevel="1">
      <c r="A4801" s="2">
        <v>11</v>
      </c>
      <c r="B4801" s="2">
        <v>1</v>
      </c>
      <c r="C4801" s="2">
        <f>C4799+1</f>
        <v>5</v>
      </c>
      <c r="E4801" s="20" t="str">
        <f>CONCATENATE(A4801,".",B4801,".",C4801)</f>
        <v>11.1.5</v>
      </c>
      <c r="F4801" s="21" t="s">
        <v>5213</v>
      </c>
      <c r="G4801" s="22">
        <v>89450</v>
      </c>
      <c r="H4801" s="23" t="s">
        <v>5214</v>
      </c>
      <c r="I4801" s="24" t="s">
        <v>144</v>
      </c>
      <c r="J4801" s="32"/>
      <c r="K4801" s="10"/>
      <c r="L4801" s="32"/>
      <c r="M4801" s="10"/>
      <c r="N4801" s="33"/>
      <c r="O4801" s="11">
        <f>SUM(O4802)</f>
        <v>7</v>
      </c>
      <c r="P4801" s="185"/>
    </row>
    <row r="4802" spans="1:16" hidden="1" outlineLevel="2">
      <c r="E4802" s="72"/>
      <c r="F4802" s="21"/>
      <c r="G4802" s="22"/>
      <c r="H4802" s="23"/>
      <c r="I4802" s="35"/>
      <c r="J4802" s="41"/>
      <c r="K4802" s="10"/>
      <c r="L4802" s="32"/>
      <c r="M4802" s="10"/>
      <c r="N4802" s="33">
        <v>7</v>
      </c>
      <c r="O4802" s="31">
        <f>ROUND(PRODUCT(J4802:N4802),2)</f>
        <v>7</v>
      </c>
      <c r="P4802" s="185"/>
    </row>
    <row r="4803" spans="1:16" ht="45" hidden="1" outlineLevel="1">
      <c r="A4803" s="2">
        <v>11</v>
      </c>
      <c r="B4803" s="2">
        <v>1</v>
      </c>
      <c r="C4803" s="2">
        <f>C4801+1</f>
        <v>6</v>
      </c>
      <c r="E4803" s="20" t="str">
        <f>CONCATENATE(A4803,".",B4803,".",C4803)</f>
        <v>11.1.6</v>
      </c>
      <c r="F4803" s="21" t="s">
        <v>5215</v>
      </c>
      <c r="G4803" s="22">
        <v>89391</v>
      </c>
      <c r="H4803" s="23" t="s">
        <v>3798</v>
      </c>
      <c r="I4803" s="24" t="s">
        <v>36</v>
      </c>
      <c r="J4803" s="32"/>
      <c r="K4803" s="10"/>
      <c r="L4803" s="32"/>
      <c r="M4803" s="10"/>
      <c r="N4803" s="33"/>
      <c r="O4803" s="11">
        <f>SUM(O4804)</f>
        <v>6</v>
      </c>
      <c r="P4803" s="185"/>
    </row>
    <row r="4804" spans="1:16" hidden="1" outlineLevel="2">
      <c r="E4804" s="72"/>
      <c r="F4804" s="21"/>
      <c r="G4804" s="22"/>
      <c r="H4804" s="23"/>
      <c r="I4804" s="35"/>
      <c r="J4804" s="41"/>
      <c r="K4804" s="10"/>
      <c r="L4804" s="32"/>
      <c r="M4804" s="10"/>
      <c r="N4804" s="33">
        <v>6</v>
      </c>
      <c r="O4804" s="31">
        <f>ROUND(PRODUCT(J4804:N4804),2)</f>
        <v>6</v>
      </c>
      <c r="P4804" s="185"/>
    </row>
    <row r="4805" spans="1:16" ht="45" hidden="1" outlineLevel="1">
      <c r="A4805" s="2">
        <v>11</v>
      </c>
      <c r="B4805" s="2">
        <v>1</v>
      </c>
      <c r="C4805" s="2">
        <f>C4803+1</f>
        <v>7</v>
      </c>
      <c r="E4805" s="20" t="str">
        <f>CONCATENATE(A4805,".",B4805,".",C4805)</f>
        <v>11.1.7</v>
      </c>
      <c r="F4805" s="21" t="s">
        <v>5216</v>
      </c>
      <c r="G4805" s="22">
        <v>103992</v>
      </c>
      <c r="H4805" s="23" t="s">
        <v>5217</v>
      </c>
      <c r="I4805" s="24" t="s">
        <v>36</v>
      </c>
      <c r="J4805" s="32"/>
      <c r="K4805" s="10"/>
      <c r="L4805" s="32"/>
      <c r="M4805" s="10"/>
      <c r="N4805" s="33"/>
      <c r="O4805" s="11">
        <f>SUM(O4806)</f>
        <v>10</v>
      </c>
      <c r="P4805" s="185"/>
    </row>
    <row r="4806" spans="1:16" hidden="1" outlineLevel="2">
      <c r="E4806" s="72"/>
      <c r="F4806" s="21"/>
      <c r="G4806" s="22"/>
      <c r="H4806" s="23"/>
      <c r="I4806" s="35"/>
      <c r="J4806" s="41"/>
      <c r="K4806" s="10"/>
      <c r="L4806" s="32"/>
      <c r="M4806" s="10"/>
      <c r="N4806" s="33">
        <v>10</v>
      </c>
      <c r="O4806" s="31">
        <f>ROUND(PRODUCT(J4806:N4806),2)</f>
        <v>10</v>
      </c>
      <c r="P4806" s="185"/>
    </row>
    <row r="4807" spans="1:16" ht="45" hidden="1" outlineLevel="1">
      <c r="A4807" s="2">
        <v>11</v>
      </c>
      <c r="B4807" s="2">
        <v>1</v>
      </c>
      <c r="C4807" s="2">
        <f>C4805+1</f>
        <v>8</v>
      </c>
      <c r="E4807" s="20" t="str">
        <f>CONCATENATE(A4807,".",B4807,".",C4807)</f>
        <v>11.1.8</v>
      </c>
      <c r="F4807" s="21" t="s">
        <v>5218</v>
      </c>
      <c r="G4807" s="22">
        <v>104001</v>
      </c>
      <c r="H4807" s="23" t="s">
        <v>5219</v>
      </c>
      <c r="I4807" s="24" t="s">
        <v>36</v>
      </c>
      <c r="J4807" s="32"/>
      <c r="K4807" s="10"/>
      <c r="L4807" s="32"/>
      <c r="M4807" s="10"/>
      <c r="N4807" s="33"/>
      <c r="O4807" s="11">
        <f>SUM(O4808)</f>
        <v>8</v>
      </c>
      <c r="P4807" s="185"/>
    </row>
    <row r="4808" spans="1:16" hidden="1" outlineLevel="2">
      <c r="E4808" s="72"/>
      <c r="F4808" s="21"/>
      <c r="G4808" s="22"/>
      <c r="H4808" s="23"/>
      <c r="I4808" s="35"/>
      <c r="J4808" s="41"/>
      <c r="K4808" s="10"/>
      <c r="L4808" s="32"/>
      <c r="M4808" s="10"/>
      <c r="N4808" s="33">
        <v>8</v>
      </c>
      <c r="O4808" s="31">
        <f>ROUND(PRODUCT(J4808:N4808),2)</f>
        <v>8</v>
      </c>
      <c r="P4808" s="185"/>
    </row>
    <row r="4809" spans="1:16" ht="45" hidden="1" outlineLevel="1">
      <c r="A4809" s="2">
        <v>11</v>
      </c>
      <c r="B4809" s="2">
        <v>1</v>
      </c>
      <c r="C4809" s="2">
        <f>C4807+1</f>
        <v>9</v>
      </c>
      <c r="E4809" s="20" t="str">
        <f>CONCATENATE(A4809,".",B4809,".",C4809)</f>
        <v>11.1.9</v>
      </c>
      <c r="F4809" s="21" t="s">
        <v>5220</v>
      </c>
      <c r="G4809" s="22">
        <v>94664</v>
      </c>
      <c r="H4809" s="23" t="s">
        <v>5221</v>
      </c>
      <c r="I4809" s="24" t="s">
        <v>36</v>
      </c>
      <c r="J4809" s="32"/>
      <c r="K4809" s="10"/>
      <c r="L4809" s="32"/>
      <c r="M4809" s="10"/>
      <c r="N4809" s="33"/>
      <c r="O4809" s="11">
        <f>SUM(O4810)</f>
        <v>4</v>
      </c>
      <c r="P4809" s="185"/>
    </row>
    <row r="4810" spans="1:16" hidden="1" outlineLevel="2">
      <c r="E4810" s="72"/>
      <c r="F4810" s="21"/>
      <c r="G4810" s="22"/>
      <c r="H4810" s="23"/>
      <c r="I4810" s="35"/>
      <c r="J4810" s="41"/>
      <c r="K4810" s="10"/>
      <c r="L4810" s="32"/>
      <c r="M4810" s="10"/>
      <c r="N4810" s="33">
        <v>4</v>
      </c>
      <c r="O4810" s="31">
        <f>ROUND(PRODUCT(J4810:N4810),2)</f>
        <v>4</v>
      </c>
      <c r="P4810" s="185"/>
    </row>
    <row r="4811" spans="1:16" ht="30" hidden="1" outlineLevel="1">
      <c r="A4811" s="2">
        <v>11</v>
      </c>
      <c r="B4811" s="2">
        <v>1</v>
      </c>
      <c r="C4811" s="2">
        <f>C4809+1</f>
        <v>10</v>
      </c>
      <c r="E4811" s="20" t="str">
        <f>CONCATENATE(A4811,".",B4811,".",C4811)</f>
        <v>11.1.10</v>
      </c>
      <c r="F4811" s="21" t="s">
        <v>5222</v>
      </c>
      <c r="G4811" s="22">
        <v>103993</v>
      </c>
      <c r="H4811" s="23" t="s">
        <v>1807</v>
      </c>
      <c r="I4811" s="24" t="s">
        <v>36</v>
      </c>
      <c r="J4811" s="32"/>
      <c r="K4811" s="10"/>
      <c r="L4811" s="32"/>
      <c r="M4811" s="10"/>
      <c r="N4811" s="33"/>
      <c r="O4811" s="11">
        <f>SUM(O4812)</f>
        <v>3</v>
      </c>
      <c r="P4811" s="185"/>
    </row>
    <row r="4812" spans="1:16" hidden="1" outlineLevel="2">
      <c r="E4812" s="72"/>
      <c r="F4812" s="21"/>
      <c r="G4812" s="22"/>
      <c r="H4812" s="23"/>
      <c r="I4812" s="35"/>
      <c r="J4812" s="41"/>
      <c r="K4812" s="10"/>
      <c r="L4812" s="32"/>
      <c r="M4812" s="10"/>
      <c r="N4812" s="33">
        <v>3</v>
      </c>
      <c r="O4812" s="31">
        <f>ROUND(PRODUCT(J4812:N4812),2)</f>
        <v>3</v>
      </c>
      <c r="P4812" s="185"/>
    </row>
    <row r="4813" spans="1:16" hidden="1" outlineLevel="1">
      <c r="A4813" s="2">
        <v>11</v>
      </c>
      <c r="B4813" s="2">
        <v>1</v>
      </c>
      <c r="C4813" s="2">
        <f>C4811+1</f>
        <v>11</v>
      </c>
      <c r="E4813" s="20" t="str">
        <f>CONCATENATE(A4813,".",B4813,".",C4813)</f>
        <v>11.1.11</v>
      </c>
      <c r="F4813" s="21" t="s">
        <v>5223</v>
      </c>
      <c r="G4813" s="22">
        <v>103966</v>
      </c>
      <c r="H4813" s="23" t="s">
        <v>5224</v>
      </c>
      <c r="I4813" s="24" t="s">
        <v>36</v>
      </c>
      <c r="J4813" s="32"/>
      <c r="K4813" s="10"/>
      <c r="L4813" s="32"/>
      <c r="M4813" s="10"/>
      <c r="N4813" s="33"/>
      <c r="O4813" s="11">
        <f>SUM(O4814)</f>
        <v>1</v>
      </c>
      <c r="P4813" s="185"/>
    </row>
    <row r="4814" spans="1:16" hidden="1" outlineLevel="2">
      <c r="E4814" s="72"/>
      <c r="F4814" s="21"/>
      <c r="G4814" s="22"/>
      <c r="H4814" s="23"/>
      <c r="I4814" s="35"/>
      <c r="J4814" s="41"/>
      <c r="K4814" s="10"/>
      <c r="L4814" s="32"/>
      <c r="M4814" s="10"/>
      <c r="N4814" s="33">
        <v>1</v>
      </c>
      <c r="O4814" s="31">
        <f>ROUND(PRODUCT(J4814:N4814),2)</f>
        <v>1</v>
      </c>
      <c r="P4814" s="185"/>
    </row>
    <row r="4815" spans="1:16" ht="30" hidden="1" outlineLevel="1">
      <c r="A4815" s="2">
        <v>11</v>
      </c>
      <c r="B4815" s="2">
        <v>1</v>
      </c>
      <c r="C4815" s="2">
        <f>C4813+1</f>
        <v>12</v>
      </c>
      <c r="E4815" s="20" t="str">
        <f>CONCATENATE(A4815,".",B4815,".",C4815)</f>
        <v>11.1.12</v>
      </c>
      <c r="F4815" s="21" t="s">
        <v>5225</v>
      </c>
      <c r="G4815" s="22">
        <v>103986</v>
      </c>
      <c r="H4815" s="23" t="s">
        <v>5226</v>
      </c>
      <c r="I4815" s="24" t="s">
        <v>36</v>
      </c>
      <c r="J4815" s="32"/>
      <c r="K4815" s="10"/>
      <c r="L4815" s="32"/>
      <c r="M4815" s="10"/>
      <c r="N4815" s="33"/>
      <c r="O4815" s="11">
        <f>SUM(O4816)</f>
        <v>1</v>
      </c>
      <c r="P4815" s="185"/>
    </row>
    <row r="4816" spans="1:16" hidden="1" outlineLevel="2">
      <c r="E4816" s="72"/>
      <c r="F4816" s="21"/>
      <c r="G4816" s="22"/>
      <c r="H4816" s="23"/>
      <c r="I4816" s="35"/>
      <c r="J4816" s="41"/>
      <c r="K4816" s="10"/>
      <c r="L4816" s="32"/>
      <c r="M4816" s="10"/>
      <c r="N4816" s="33">
        <v>1</v>
      </c>
      <c r="O4816" s="31">
        <f>ROUND(PRODUCT(J4816:N4816),2)</f>
        <v>1</v>
      </c>
      <c r="P4816" s="185"/>
    </row>
    <row r="4817" spans="1:16" ht="30" hidden="1" outlineLevel="1">
      <c r="A4817" s="2">
        <v>11</v>
      </c>
      <c r="B4817" s="2">
        <v>1</v>
      </c>
      <c r="C4817" s="2">
        <f>C4815+1</f>
        <v>13</v>
      </c>
      <c r="E4817" s="20" t="str">
        <f>CONCATENATE(A4817,".",B4817,".",C4817)</f>
        <v>11.1.13</v>
      </c>
      <c r="F4817" s="21" t="s">
        <v>5227</v>
      </c>
      <c r="G4817" s="22">
        <v>103980</v>
      </c>
      <c r="H4817" s="23" t="s">
        <v>5228</v>
      </c>
      <c r="I4817" s="24" t="s">
        <v>36</v>
      </c>
      <c r="J4817" s="32"/>
      <c r="K4817" s="10"/>
      <c r="L4817" s="32"/>
      <c r="M4817" s="10"/>
      <c r="N4817" s="33"/>
      <c r="O4817" s="11">
        <f>SUM(O4818)</f>
        <v>12</v>
      </c>
      <c r="P4817" s="185"/>
    </row>
    <row r="4818" spans="1:16" hidden="1" outlineLevel="2">
      <c r="E4818" s="72"/>
      <c r="F4818" s="21"/>
      <c r="G4818" s="22"/>
      <c r="H4818" s="23"/>
      <c r="I4818" s="35"/>
      <c r="J4818" s="41"/>
      <c r="K4818" s="10"/>
      <c r="L4818" s="32"/>
      <c r="M4818" s="10"/>
      <c r="N4818" s="33">
        <v>12</v>
      </c>
      <c r="O4818" s="31">
        <f>ROUND(PRODUCT(J4818:N4818),2)</f>
        <v>12</v>
      </c>
      <c r="P4818" s="185"/>
    </row>
    <row r="4819" spans="1:16" ht="30" hidden="1" outlineLevel="1">
      <c r="A4819" s="2">
        <v>11</v>
      </c>
      <c r="B4819" s="2">
        <v>1</v>
      </c>
      <c r="C4819" s="2">
        <f>C4817+1</f>
        <v>14</v>
      </c>
      <c r="E4819" s="20" t="str">
        <f>CONCATENATE(A4819,".",B4819,".",C4819)</f>
        <v>11.1.14</v>
      </c>
      <c r="F4819" s="21" t="s">
        <v>5229</v>
      </c>
      <c r="G4819" s="22">
        <v>94678</v>
      </c>
      <c r="H4819" s="23" t="s">
        <v>1504</v>
      </c>
      <c r="I4819" s="24" t="s">
        <v>36</v>
      </c>
      <c r="J4819" s="32"/>
      <c r="K4819" s="10"/>
      <c r="L4819" s="32"/>
      <c r="M4819" s="10"/>
      <c r="N4819" s="33"/>
      <c r="O4819" s="11">
        <f>SUM(O4820)</f>
        <v>5</v>
      </c>
      <c r="P4819" s="185"/>
    </row>
    <row r="4820" spans="1:16" hidden="1" outlineLevel="2">
      <c r="E4820" s="72"/>
      <c r="F4820" s="21"/>
      <c r="G4820" s="22"/>
      <c r="H4820" s="23"/>
      <c r="I4820" s="35"/>
      <c r="J4820" s="41"/>
      <c r="K4820" s="10"/>
      <c r="L4820" s="32"/>
      <c r="M4820" s="10"/>
      <c r="N4820" s="33">
        <v>5</v>
      </c>
      <c r="O4820" s="31">
        <f>ROUND(PRODUCT(J4820:N4820),2)</f>
        <v>5</v>
      </c>
      <c r="P4820" s="185"/>
    </row>
    <row r="4821" spans="1:16" ht="30" hidden="1" outlineLevel="1">
      <c r="A4821" s="2">
        <v>11</v>
      </c>
      <c r="B4821" s="2">
        <v>1</v>
      </c>
      <c r="C4821" s="2">
        <f>C4819+1</f>
        <v>15</v>
      </c>
      <c r="E4821" s="20" t="str">
        <f>CONCATENATE(A4821,".",B4821,".",C4821)</f>
        <v>11.1.15</v>
      </c>
      <c r="F4821" s="21" t="s">
        <v>5230</v>
      </c>
      <c r="G4821" s="22">
        <v>89362</v>
      </c>
      <c r="H4821" s="23" t="s">
        <v>729</v>
      </c>
      <c r="I4821" s="24" t="s">
        <v>36</v>
      </c>
      <c r="J4821" s="32"/>
      <c r="K4821" s="10"/>
      <c r="L4821" s="32"/>
      <c r="M4821" s="10"/>
      <c r="N4821" s="33"/>
      <c r="O4821" s="11">
        <f>SUM(O4822)</f>
        <v>10</v>
      </c>
      <c r="P4821" s="185"/>
    </row>
    <row r="4822" spans="1:16" hidden="1" outlineLevel="2">
      <c r="E4822" s="72"/>
      <c r="F4822" s="21"/>
      <c r="G4822" s="22"/>
      <c r="H4822" s="23"/>
      <c r="I4822" s="35"/>
      <c r="J4822" s="41"/>
      <c r="K4822" s="10"/>
      <c r="L4822" s="32"/>
      <c r="M4822" s="10"/>
      <c r="N4822" s="33">
        <v>10</v>
      </c>
      <c r="O4822" s="31">
        <f>ROUND(PRODUCT(J4822:N4822),2)</f>
        <v>10</v>
      </c>
      <c r="P4822" s="185"/>
    </row>
    <row r="4823" spans="1:16" ht="30" hidden="1" outlineLevel="1">
      <c r="A4823" s="2">
        <v>11</v>
      </c>
      <c r="B4823" s="2">
        <v>1</v>
      </c>
      <c r="C4823" s="2">
        <f>C4821+1</f>
        <v>16</v>
      </c>
      <c r="E4823" s="20" t="str">
        <f>CONCATENATE(A4823,".",B4823,".",C4823)</f>
        <v>11.1.16</v>
      </c>
      <c r="F4823" s="21" t="s">
        <v>5231</v>
      </c>
      <c r="G4823" s="22">
        <v>89367</v>
      </c>
      <c r="H4823" s="23" t="s">
        <v>726</v>
      </c>
      <c r="I4823" s="24" t="s">
        <v>36</v>
      </c>
      <c r="J4823" s="32"/>
      <c r="K4823" s="10"/>
      <c r="L4823" s="32"/>
      <c r="M4823" s="10"/>
      <c r="N4823" s="33"/>
      <c r="O4823" s="11">
        <f>SUM(O4824)</f>
        <v>1</v>
      </c>
      <c r="P4823" s="185"/>
    </row>
    <row r="4824" spans="1:16" hidden="1" outlineLevel="2">
      <c r="E4824" s="72"/>
      <c r="F4824" s="21"/>
      <c r="G4824" s="22"/>
      <c r="H4824" s="23"/>
      <c r="I4824" s="35"/>
      <c r="J4824" s="41"/>
      <c r="K4824" s="10"/>
      <c r="L4824" s="32"/>
      <c r="M4824" s="10"/>
      <c r="N4824" s="33">
        <v>1</v>
      </c>
      <c r="O4824" s="31">
        <f>ROUND(PRODUCT(J4824:N4824),2)</f>
        <v>1</v>
      </c>
      <c r="P4824" s="185"/>
    </row>
    <row r="4825" spans="1:16" hidden="1" outlineLevel="1">
      <c r="A4825" s="2">
        <v>11</v>
      </c>
      <c r="B4825" s="2">
        <v>1</v>
      </c>
      <c r="C4825" s="2">
        <f>C4823+1</f>
        <v>17</v>
      </c>
      <c r="E4825" s="20" t="str">
        <f>CONCATENATE(A4825,".",B4825,".",C4825)</f>
        <v>11.1.17</v>
      </c>
      <c r="F4825" s="21" t="s">
        <v>5232</v>
      </c>
      <c r="G4825" s="22">
        <v>94680</v>
      </c>
      <c r="H4825" s="23" t="s">
        <v>5233</v>
      </c>
      <c r="I4825" s="24" t="s">
        <v>36</v>
      </c>
      <c r="J4825" s="32"/>
      <c r="K4825" s="10"/>
      <c r="L4825" s="32"/>
      <c r="M4825" s="10"/>
      <c r="N4825" s="33"/>
      <c r="O4825" s="11">
        <f>SUM(O4826)</f>
        <v>6</v>
      </c>
      <c r="P4825" s="185"/>
    </row>
    <row r="4826" spans="1:16" hidden="1" outlineLevel="2">
      <c r="E4826" s="72"/>
      <c r="F4826" s="21"/>
      <c r="G4826" s="22"/>
      <c r="H4826" s="23"/>
      <c r="I4826" s="35"/>
      <c r="J4826" s="41"/>
      <c r="K4826" s="10"/>
      <c r="L4826" s="32"/>
      <c r="M4826" s="10"/>
      <c r="N4826" s="33">
        <v>6</v>
      </c>
      <c r="O4826" s="31">
        <f>ROUND(PRODUCT(J4826:N4826),2)</f>
        <v>6</v>
      </c>
      <c r="P4826" s="185"/>
    </row>
    <row r="4827" spans="1:16" ht="30" hidden="1" outlineLevel="1">
      <c r="A4827" s="2">
        <v>11</v>
      </c>
      <c r="B4827" s="2">
        <v>1</v>
      </c>
      <c r="C4827" s="2">
        <f>C4825+1</f>
        <v>18</v>
      </c>
      <c r="E4827" s="20" t="str">
        <f>CONCATENATE(A4827,".",B4827,".",C4827)</f>
        <v>11.1.18</v>
      </c>
      <c r="F4827" s="21" t="s">
        <v>5234</v>
      </c>
      <c r="G4827" s="22">
        <v>103951</v>
      </c>
      <c r="H4827" s="23" t="s">
        <v>5235</v>
      </c>
      <c r="I4827" s="24" t="s">
        <v>36</v>
      </c>
      <c r="J4827" s="32"/>
      <c r="K4827" s="10"/>
      <c r="L4827" s="32"/>
      <c r="M4827" s="10"/>
      <c r="N4827" s="33"/>
      <c r="O4827" s="11">
        <f>SUM(O4828)</f>
        <v>7</v>
      </c>
      <c r="P4827" s="185"/>
    </row>
    <row r="4828" spans="1:16" hidden="1" outlineLevel="2">
      <c r="E4828" s="72"/>
      <c r="F4828" s="21"/>
      <c r="G4828" s="22"/>
      <c r="H4828" s="23"/>
      <c r="I4828" s="35"/>
      <c r="J4828" s="41"/>
      <c r="K4828" s="10"/>
      <c r="L4828" s="32"/>
      <c r="M4828" s="10"/>
      <c r="N4828" s="33">
        <v>7</v>
      </c>
      <c r="O4828" s="31">
        <f>ROUND(PRODUCT(J4828:N4828),2)</f>
        <v>7</v>
      </c>
      <c r="P4828" s="185"/>
    </row>
    <row r="4829" spans="1:16" ht="30" hidden="1" outlineLevel="1">
      <c r="A4829" s="2">
        <v>11</v>
      </c>
      <c r="B4829" s="2">
        <v>1</v>
      </c>
      <c r="C4829" s="2">
        <f>C4827+1</f>
        <v>19</v>
      </c>
      <c r="E4829" s="20" t="str">
        <f>CONCATENATE(A4829,".",B4829,".",C4829)</f>
        <v>11.1.19</v>
      </c>
      <c r="F4829" s="21" t="s">
        <v>5236</v>
      </c>
      <c r="G4829" s="22">
        <v>104006</v>
      </c>
      <c r="H4829" s="23" t="s">
        <v>2270</v>
      </c>
      <c r="I4829" s="24" t="s">
        <v>36</v>
      </c>
      <c r="J4829" s="32"/>
      <c r="K4829" s="10"/>
      <c r="L4829" s="32"/>
      <c r="M4829" s="10"/>
      <c r="N4829" s="33"/>
      <c r="O4829" s="11">
        <f>SUM(O4830)</f>
        <v>3</v>
      </c>
      <c r="P4829" s="185"/>
    </row>
    <row r="4830" spans="1:16" hidden="1" outlineLevel="2">
      <c r="E4830" s="72"/>
      <c r="F4830" s="21"/>
      <c r="G4830" s="22"/>
      <c r="H4830" s="23"/>
      <c r="I4830" s="35"/>
      <c r="J4830" s="41"/>
      <c r="K4830" s="10"/>
      <c r="L4830" s="32"/>
      <c r="M4830" s="10"/>
      <c r="N4830" s="33">
        <v>3</v>
      </c>
      <c r="O4830" s="31">
        <f>ROUND(PRODUCT(J4830:N4830),2)</f>
        <v>3</v>
      </c>
      <c r="P4830" s="185"/>
    </row>
    <row r="4831" spans="1:16" ht="30" hidden="1" outlineLevel="1">
      <c r="A4831" s="2">
        <v>11</v>
      </c>
      <c r="B4831" s="2">
        <v>1</v>
      </c>
      <c r="C4831" s="2">
        <f>C4829+1</f>
        <v>20</v>
      </c>
      <c r="E4831" s="20" t="str">
        <f>CONCATENATE(A4831,".",B4831,".",C4831)</f>
        <v>11.1.20</v>
      </c>
      <c r="F4831" s="21" t="s">
        <v>5237</v>
      </c>
      <c r="G4831" s="22">
        <v>104005</v>
      </c>
      <c r="H4831" s="23" t="s">
        <v>5238</v>
      </c>
      <c r="I4831" s="24" t="s">
        <v>36</v>
      </c>
      <c r="J4831" s="32"/>
      <c r="K4831" s="10"/>
      <c r="L4831" s="32"/>
      <c r="M4831" s="10"/>
      <c r="N4831" s="33"/>
      <c r="O4831" s="11">
        <f>SUM(O4832)</f>
        <v>3</v>
      </c>
      <c r="P4831" s="185"/>
    </row>
    <row r="4832" spans="1:16" hidden="1" outlineLevel="2">
      <c r="E4832" s="72"/>
      <c r="F4832" s="21"/>
      <c r="G4832" s="22"/>
      <c r="H4832" s="23"/>
      <c r="I4832" s="35"/>
      <c r="J4832" s="41"/>
      <c r="K4832" s="10"/>
      <c r="L4832" s="32"/>
      <c r="M4832" s="10"/>
      <c r="N4832" s="33">
        <v>3</v>
      </c>
      <c r="O4832" s="31">
        <f>ROUND(PRODUCT(J4832:N4832),2)</f>
        <v>3</v>
      </c>
      <c r="P4832" s="185"/>
    </row>
    <row r="4833" spans="1:16" ht="30" hidden="1" outlineLevel="1">
      <c r="A4833" s="2">
        <v>11</v>
      </c>
      <c r="B4833" s="2">
        <v>1</v>
      </c>
      <c r="C4833" s="2">
        <f>C4831+1</f>
        <v>21</v>
      </c>
      <c r="E4833" s="20" t="str">
        <f>CONCATENATE(A4833,".",B4833,".",C4833)</f>
        <v>11.1.21</v>
      </c>
      <c r="F4833" s="21" t="s">
        <v>5239</v>
      </c>
      <c r="G4833" s="22">
        <v>104012</v>
      </c>
      <c r="H4833" s="23" t="s">
        <v>5240</v>
      </c>
      <c r="I4833" s="24" t="s">
        <v>36</v>
      </c>
      <c r="J4833" s="32"/>
      <c r="K4833" s="10"/>
      <c r="L4833" s="32"/>
      <c r="M4833" s="10"/>
      <c r="N4833" s="33"/>
      <c r="O4833" s="11">
        <f>SUM(O4834)</f>
        <v>3</v>
      </c>
      <c r="P4833" s="185"/>
    </row>
    <row r="4834" spans="1:16" hidden="1" outlineLevel="2">
      <c r="E4834" s="72"/>
      <c r="F4834" s="21"/>
      <c r="G4834" s="22"/>
      <c r="H4834" s="23"/>
      <c r="I4834" s="35"/>
      <c r="J4834" s="41"/>
      <c r="K4834" s="10"/>
      <c r="L4834" s="32"/>
      <c r="M4834" s="10"/>
      <c r="N4834" s="33">
        <v>3</v>
      </c>
      <c r="O4834" s="31">
        <f>ROUND(PRODUCT(J4834:N4834),2)</f>
        <v>3</v>
      </c>
      <c r="P4834" s="185"/>
    </row>
    <row r="4835" spans="1:16" ht="30" hidden="1" outlineLevel="1">
      <c r="A4835" s="2">
        <v>11</v>
      </c>
      <c r="B4835" s="2">
        <v>1</v>
      </c>
      <c r="C4835" s="2">
        <f>C4833+1</f>
        <v>22</v>
      </c>
      <c r="E4835" s="20" t="str">
        <f>CONCATENATE(A4835,".",B4835,".",C4835)</f>
        <v>11.1.22</v>
      </c>
      <c r="F4835" s="21" t="s">
        <v>5241</v>
      </c>
      <c r="G4835" s="22">
        <v>89395</v>
      </c>
      <c r="H4835" s="23" t="s">
        <v>741</v>
      </c>
      <c r="I4835" s="24" t="s">
        <v>36</v>
      </c>
      <c r="J4835" s="32"/>
      <c r="K4835" s="10"/>
      <c r="L4835" s="32"/>
      <c r="M4835" s="10"/>
      <c r="N4835" s="33"/>
      <c r="O4835" s="11">
        <f>SUM(O4836)</f>
        <v>1</v>
      </c>
      <c r="P4835" s="185"/>
    </row>
    <row r="4836" spans="1:16" hidden="1" outlineLevel="2">
      <c r="E4836" s="72"/>
      <c r="F4836" s="21"/>
      <c r="G4836" s="22"/>
      <c r="H4836" s="23"/>
      <c r="I4836" s="35"/>
      <c r="J4836" s="41"/>
      <c r="K4836" s="10"/>
      <c r="L4836" s="32"/>
      <c r="M4836" s="10"/>
      <c r="N4836" s="33">
        <v>1</v>
      </c>
      <c r="O4836" s="31">
        <f>ROUND(PRODUCT(J4836:N4836),2)</f>
        <v>1</v>
      </c>
      <c r="P4836" s="185"/>
    </row>
    <row r="4837" spans="1:16" ht="30" hidden="1" outlineLevel="1">
      <c r="A4837" s="2">
        <v>11</v>
      </c>
      <c r="B4837" s="2">
        <v>1</v>
      </c>
      <c r="C4837" s="2">
        <f>C4835+1</f>
        <v>23</v>
      </c>
      <c r="E4837" s="20" t="str">
        <f>CONCATENATE(A4837,".",B4837,".",C4837)</f>
        <v>11.1.23</v>
      </c>
      <c r="F4837" s="21" t="s">
        <v>5242</v>
      </c>
      <c r="G4837" s="22">
        <v>104004</v>
      </c>
      <c r="H4837" s="23" t="s">
        <v>2282</v>
      </c>
      <c r="I4837" s="24" t="s">
        <v>36</v>
      </c>
      <c r="J4837" s="32"/>
      <c r="K4837" s="10"/>
      <c r="L4837" s="32"/>
      <c r="M4837" s="10"/>
      <c r="N4837" s="33"/>
      <c r="O4837" s="11">
        <f>SUM(O4838)</f>
        <v>2</v>
      </c>
      <c r="P4837" s="185"/>
    </row>
    <row r="4838" spans="1:16" hidden="1" outlineLevel="2">
      <c r="E4838" s="72"/>
      <c r="F4838" s="21"/>
      <c r="G4838" s="22"/>
      <c r="H4838" s="23"/>
      <c r="I4838" s="35"/>
      <c r="J4838" s="41"/>
      <c r="K4838" s="10"/>
      <c r="L4838" s="32"/>
      <c r="M4838" s="10"/>
      <c r="N4838" s="33">
        <v>2</v>
      </c>
      <c r="O4838" s="31">
        <f>ROUND(PRODUCT(J4838:N4838),2)</f>
        <v>2</v>
      </c>
      <c r="P4838" s="185"/>
    </row>
    <row r="4839" spans="1:16" ht="30" hidden="1" outlineLevel="1">
      <c r="A4839" s="2">
        <v>11</v>
      </c>
      <c r="B4839" s="2">
        <v>1</v>
      </c>
      <c r="C4839" s="2">
        <f>C4837+1</f>
        <v>24</v>
      </c>
      <c r="E4839" s="20" t="str">
        <f>CONCATENATE(A4839,".",B4839,".",C4839)</f>
        <v>11.1.24</v>
      </c>
      <c r="F4839" s="21" t="s">
        <v>5243</v>
      </c>
      <c r="G4839" s="22">
        <v>104011</v>
      </c>
      <c r="H4839" s="23" t="s">
        <v>5244</v>
      </c>
      <c r="I4839" s="24" t="s">
        <v>36</v>
      </c>
      <c r="J4839" s="32"/>
      <c r="K4839" s="10"/>
      <c r="L4839" s="32"/>
      <c r="M4839" s="10"/>
      <c r="N4839" s="33"/>
      <c r="O4839" s="11">
        <f>SUM(O4840)</f>
        <v>1</v>
      </c>
      <c r="P4839" s="185"/>
    </row>
    <row r="4840" spans="1:16" hidden="1" outlineLevel="2">
      <c r="E4840" s="72"/>
      <c r="F4840" s="21"/>
      <c r="G4840" s="22"/>
      <c r="H4840" s="23"/>
      <c r="I4840" s="35"/>
      <c r="J4840" s="41"/>
      <c r="K4840" s="10"/>
      <c r="L4840" s="32"/>
      <c r="M4840" s="10"/>
      <c r="N4840" s="33">
        <v>1</v>
      </c>
      <c r="O4840" s="31">
        <f>ROUND(PRODUCT(J4840:N4840),2)</f>
        <v>1</v>
      </c>
      <c r="P4840" s="185"/>
    </row>
    <row r="4841" spans="1:16" ht="30" hidden="1" outlineLevel="1">
      <c r="A4841" s="2">
        <v>11</v>
      </c>
      <c r="B4841" s="2">
        <v>1</v>
      </c>
      <c r="C4841" s="2">
        <f>C4839+1</f>
        <v>25</v>
      </c>
      <c r="E4841" s="20" t="str">
        <f>CONCATENATE(A4841,".",B4841,".",C4841)</f>
        <v>11.1.25</v>
      </c>
      <c r="F4841" s="21" t="s">
        <v>5245</v>
      </c>
      <c r="G4841" s="22">
        <v>89398</v>
      </c>
      <c r="H4841" s="23" t="s">
        <v>1106</v>
      </c>
      <c r="I4841" s="24" t="s">
        <v>36</v>
      </c>
      <c r="J4841" s="32"/>
      <c r="K4841" s="10"/>
      <c r="L4841" s="32"/>
      <c r="M4841" s="10"/>
      <c r="N4841" s="33"/>
      <c r="O4841" s="11">
        <f>SUM(O4842)</f>
        <v>1</v>
      </c>
      <c r="P4841" s="185"/>
    </row>
    <row r="4842" spans="1:16" hidden="1" outlineLevel="2">
      <c r="E4842" s="72"/>
      <c r="F4842" s="21"/>
      <c r="G4842" s="22"/>
      <c r="H4842" s="23"/>
      <c r="I4842" s="35"/>
      <c r="J4842" s="41"/>
      <c r="K4842" s="10"/>
      <c r="L4842" s="32"/>
      <c r="M4842" s="10"/>
      <c r="N4842" s="33">
        <v>1</v>
      </c>
      <c r="O4842" s="31">
        <f>ROUND(PRODUCT(J4842:N4842),2)</f>
        <v>1</v>
      </c>
      <c r="P4842" s="185"/>
    </row>
    <row r="4843" spans="1:16" ht="30" hidden="1" outlineLevel="1">
      <c r="A4843" s="2">
        <v>11</v>
      </c>
      <c r="B4843" s="2">
        <v>1</v>
      </c>
      <c r="C4843" s="2">
        <f>C4841+1</f>
        <v>26</v>
      </c>
      <c r="E4843" s="20" t="str">
        <f>CONCATENATE(A4843,".",B4843,".",C4843)</f>
        <v>11.1.26</v>
      </c>
      <c r="F4843" s="21" t="s">
        <v>5246</v>
      </c>
      <c r="G4843" s="22">
        <v>103997</v>
      </c>
      <c r="H4843" s="23" t="s">
        <v>5247</v>
      </c>
      <c r="I4843" s="24" t="s">
        <v>36</v>
      </c>
      <c r="J4843" s="32"/>
      <c r="K4843" s="10"/>
      <c r="L4843" s="32"/>
      <c r="M4843" s="10"/>
      <c r="N4843" s="33"/>
      <c r="O4843" s="11">
        <f>SUM(O4844)</f>
        <v>2</v>
      </c>
      <c r="P4843" s="185"/>
    </row>
    <row r="4844" spans="1:16" hidden="1" outlineLevel="2">
      <c r="E4844" s="72"/>
      <c r="F4844" s="21"/>
      <c r="G4844" s="22"/>
      <c r="H4844" s="23"/>
      <c r="I4844" s="35"/>
      <c r="J4844" s="41"/>
      <c r="K4844" s="10"/>
      <c r="L4844" s="32"/>
      <c r="M4844" s="10"/>
      <c r="N4844" s="33">
        <v>2</v>
      </c>
      <c r="O4844" s="31">
        <f>ROUND(PRODUCT(J4844:N4844),2)</f>
        <v>2</v>
      </c>
      <c r="P4844" s="185"/>
    </row>
    <row r="4845" spans="1:16" ht="30" hidden="1" outlineLevel="1">
      <c r="A4845" s="2">
        <v>11</v>
      </c>
      <c r="B4845" s="2">
        <v>1</v>
      </c>
      <c r="C4845" s="2">
        <f>C4843+1</f>
        <v>27</v>
      </c>
      <c r="E4845" s="20" t="str">
        <f>CONCATENATE(A4845,".",B4845,".",C4845)</f>
        <v>11.1.27</v>
      </c>
      <c r="F4845" s="21" t="s">
        <v>5248</v>
      </c>
      <c r="G4845" s="22">
        <v>94496</v>
      </c>
      <c r="H4845" s="23" t="s">
        <v>5249</v>
      </c>
      <c r="I4845" s="24" t="s">
        <v>36</v>
      </c>
      <c r="J4845" s="32"/>
      <c r="K4845" s="10"/>
      <c r="L4845" s="32"/>
      <c r="M4845" s="10"/>
      <c r="N4845" s="33"/>
      <c r="O4845" s="11">
        <f>SUM(O4846)</f>
        <v>2</v>
      </c>
      <c r="P4845" s="185"/>
    </row>
    <row r="4846" spans="1:16" hidden="1" outlineLevel="2">
      <c r="E4846" s="72"/>
      <c r="F4846" s="21"/>
      <c r="G4846" s="22"/>
      <c r="H4846" s="23"/>
      <c r="I4846" s="35"/>
      <c r="J4846" s="41"/>
      <c r="K4846" s="10"/>
      <c r="L4846" s="32"/>
      <c r="M4846" s="10"/>
      <c r="N4846" s="33">
        <v>2</v>
      </c>
      <c r="O4846" s="31">
        <f>ROUND(PRODUCT(J4846:N4846),2)</f>
        <v>2</v>
      </c>
      <c r="P4846" s="185"/>
    </row>
    <row r="4847" spans="1:16" hidden="1" outlineLevel="1">
      <c r="A4847" s="2">
        <v>11</v>
      </c>
      <c r="B4847" s="2">
        <v>1</v>
      </c>
      <c r="C4847" s="2">
        <f>C4845+1</f>
        <v>28</v>
      </c>
      <c r="E4847" s="20" t="str">
        <f>CONCATENATE(A4847,".",B4847,".",C4847)</f>
        <v>11.1.28</v>
      </c>
      <c r="F4847" s="21" t="s">
        <v>5250</v>
      </c>
      <c r="G4847" s="22">
        <v>94498</v>
      </c>
      <c r="H4847" s="23" t="s">
        <v>5251</v>
      </c>
      <c r="I4847" s="24" t="s">
        <v>36</v>
      </c>
      <c r="J4847" s="32"/>
      <c r="K4847" s="10"/>
      <c r="L4847" s="32"/>
      <c r="M4847" s="10"/>
      <c r="N4847" s="33"/>
      <c r="O4847" s="11">
        <f>SUM(O4848)</f>
        <v>2</v>
      </c>
      <c r="P4847" s="185"/>
    </row>
    <row r="4848" spans="1:16" hidden="1" outlineLevel="2">
      <c r="E4848" s="72"/>
      <c r="F4848" s="21"/>
      <c r="G4848" s="22"/>
      <c r="H4848" s="23"/>
      <c r="I4848" s="35"/>
      <c r="J4848" s="41"/>
      <c r="K4848" s="10"/>
      <c r="L4848" s="32"/>
      <c r="M4848" s="10"/>
      <c r="N4848" s="33">
        <v>2</v>
      </c>
      <c r="O4848" s="31">
        <f>ROUND(PRODUCT(J4848:N4848),2)</f>
        <v>2</v>
      </c>
      <c r="P4848" s="185"/>
    </row>
    <row r="4849" spans="1:16" ht="30" hidden="1" outlineLevel="1">
      <c r="A4849" s="2">
        <v>11</v>
      </c>
      <c r="B4849" s="2">
        <v>1</v>
      </c>
      <c r="C4849" s="2">
        <f>C4847+1</f>
        <v>29</v>
      </c>
      <c r="E4849" s="20" t="str">
        <f>CONCATENATE(A4849,".",B4849,".",C4849)</f>
        <v>11.1.29</v>
      </c>
      <c r="F4849" s="21" t="s">
        <v>5252</v>
      </c>
      <c r="G4849" s="22">
        <v>94492</v>
      </c>
      <c r="H4849" s="23" t="s">
        <v>5253</v>
      </c>
      <c r="I4849" s="24" t="s">
        <v>36</v>
      </c>
      <c r="J4849" s="32"/>
      <c r="K4849" s="10"/>
      <c r="L4849" s="32"/>
      <c r="M4849" s="10"/>
      <c r="N4849" s="33"/>
      <c r="O4849" s="11">
        <f>SUM(O4850)</f>
        <v>4</v>
      </c>
      <c r="P4849" s="185"/>
    </row>
    <row r="4850" spans="1:16" hidden="1" outlineLevel="2">
      <c r="E4850" s="72"/>
      <c r="F4850" s="21"/>
      <c r="G4850" s="22"/>
      <c r="H4850" s="23"/>
      <c r="I4850" s="35"/>
      <c r="J4850" s="41"/>
      <c r="K4850" s="10"/>
      <c r="L4850" s="32"/>
      <c r="M4850" s="10"/>
      <c r="N4850" s="33">
        <v>4</v>
      </c>
      <c r="O4850" s="31">
        <f>ROUND(PRODUCT(J4850:N4850),2)</f>
        <v>4</v>
      </c>
      <c r="P4850" s="185"/>
    </row>
    <row r="4851" spans="1:16" ht="30" hidden="1" outlineLevel="1">
      <c r="A4851" s="2">
        <v>11</v>
      </c>
      <c r="B4851" s="2">
        <v>1</v>
      </c>
      <c r="C4851" s="2">
        <f>C4849+1</f>
        <v>30</v>
      </c>
      <c r="E4851" s="20" t="str">
        <f>CONCATENATE(A4851,".",B4851,".",C4851)</f>
        <v>11.1.30</v>
      </c>
      <c r="F4851" s="21" t="s">
        <v>5254</v>
      </c>
      <c r="G4851" s="22">
        <v>94491</v>
      </c>
      <c r="H4851" s="23" t="s">
        <v>5255</v>
      </c>
      <c r="I4851" s="24" t="s">
        <v>36</v>
      </c>
      <c r="J4851" s="32"/>
      <c r="K4851" s="10"/>
      <c r="L4851" s="32"/>
      <c r="M4851" s="10"/>
      <c r="N4851" s="33"/>
      <c r="O4851" s="11">
        <f>SUM(O4852)</f>
        <v>3</v>
      </c>
      <c r="P4851" s="185"/>
    </row>
    <row r="4852" spans="1:16" hidden="1" outlineLevel="2">
      <c r="E4852" s="72"/>
      <c r="F4852" s="21"/>
      <c r="G4852" s="22"/>
      <c r="H4852" s="23"/>
      <c r="I4852" s="35"/>
      <c r="J4852" s="41"/>
      <c r="K4852" s="10"/>
      <c r="L4852" s="32"/>
      <c r="M4852" s="10"/>
      <c r="N4852" s="33">
        <v>3</v>
      </c>
      <c r="O4852" s="31">
        <f>ROUND(PRODUCT(J4852:N4852),2)</f>
        <v>3</v>
      </c>
      <c r="P4852" s="185"/>
    </row>
    <row r="4853" spans="1:16" ht="30" hidden="1" outlineLevel="1">
      <c r="A4853" s="2">
        <v>11</v>
      </c>
      <c r="B4853" s="2">
        <v>1</v>
      </c>
      <c r="C4853" s="2">
        <f>C4851+1</f>
        <v>31</v>
      </c>
      <c r="E4853" s="20" t="str">
        <f>CONCATENATE(A4853,".",B4853,".",C4853)</f>
        <v>11.1.31</v>
      </c>
      <c r="F4853" s="21" t="s">
        <v>5256</v>
      </c>
      <c r="G4853" s="22">
        <v>94490</v>
      </c>
      <c r="H4853" s="23" t="s">
        <v>5257</v>
      </c>
      <c r="I4853" s="24" t="s">
        <v>36</v>
      </c>
      <c r="J4853" s="32"/>
      <c r="K4853" s="10"/>
      <c r="L4853" s="32"/>
      <c r="M4853" s="10"/>
      <c r="N4853" s="33"/>
      <c r="O4853" s="11">
        <f>SUM(O4854)</f>
        <v>3</v>
      </c>
      <c r="P4853" s="185"/>
    </row>
    <row r="4854" spans="1:16" hidden="1" outlineLevel="2">
      <c r="E4854" s="72"/>
      <c r="F4854" s="21"/>
      <c r="G4854" s="22"/>
      <c r="H4854" s="23"/>
      <c r="I4854" s="35"/>
      <c r="J4854" s="41"/>
      <c r="K4854" s="10"/>
      <c r="L4854" s="32"/>
      <c r="M4854" s="10"/>
      <c r="N4854" s="33">
        <v>3</v>
      </c>
      <c r="O4854" s="31">
        <f>ROUND(PRODUCT(J4854:N4854),2)</f>
        <v>3</v>
      </c>
      <c r="P4854" s="185"/>
    </row>
    <row r="4855" spans="1:16" ht="30" hidden="1" outlineLevel="1">
      <c r="A4855" s="2">
        <v>11</v>
      </c>
      <c r="B4855" s="2">
        <v>1</v>
      </c>
      <c r="C4855" s="2">
        <f>C4853+1</f>
        <v>32</v>
      </c>
      <c r="E4855" s="20" t="str">
        <f>CONCATENATE(A4855,".",B4855,".",C4855)</f>
        <v>11.1.32</v>
      </c>
      <c r="F4855" s="21" t="s">
        <v>5258</v>
      </c>
      <c r="G4855" s="24">
        <v>102118</v>
      </c>
      <c r="H4855" s="23" t="s">
        <v>5259</v>
      </c>
      <c r="I4855" s="24" t="s">
        <v>36</v>
      </c>
      <c r="J4855" s="32"/>
      <c r="K4855" s="10"/>
      <c r="L4855" s="32"/>
      <c r="M4855" s="10"/>
      <c r="N4855" s="33"/>
      <c r="O4855" s="11">
        <f>SUM(O4856)</f>
        <v>2</v>
      </c>
      <c r="P4855" s="185"/>
    </row>
    <row r="4856" spans="1:16" hidden="1" outlineLevel="2">
      <c r="E4856" s="72"/>
      <c r="F4856" s="21"/>
      <c r="G4856" s="34"/>
      <c r="H4856" s="30"/>
      <c r="I4856" s="35"/>
      <c r="J4856" s="41"/>
      <c r="K4856" s="10"/>
      <c r="L4856" s="32"/>
      <c r="M4856" s="10"/>
      <c r="N4856" s="33">
        <v>2</v>
      </c>
      <c r="O4856" s="31">
        <f>ROUND(PRODUCT(J4856:N4856),2)</f>
        <v>2</v>
      </c>
      <c r="P4856" s="185"/>
    </row>
    <row r="4857" spans="1:16" ht="30" hidden="1" outlineLevel="1">
      <c r="A4857" s="2">
        <v>11</v>
      </c>
      <c r="B4857" s="2">
        <v>1</v>
      </c>
      <c r="C4857" s="2">
        <f>C4855+1</f>
        <v>33</v>
      </c>
      <c r="E4857" s="20" t="str">
        <f>CONCATENATE(A4857,".",B4857,".",C4857)</f>
        <v>11.1.33</v>
      </c>
      <c r="F4857" s="21" t="s">
        <v>5260</v>
      </c>
      <c r="G4857" s="24">
        <v>91863</v>
      </c>
      <c r="H4857" s="23" t="s">
        <v>2426</v>
      </c>
      <c r="I4857" s="24" t="s">
        <v>144</v>
      </c>
      <c r="J4857" s="32"/>
      <c r="K4857" s="10"/>
      <c r="L4857" s="32"/>
      <c r="M4857" s="10"/>
      <c r="N4857" s="33"/>
      <c r="O4857" s="11">
        <f>SUM(O4858)</f>
        <v>280</v>
      </c>
      <c r="P4857" s="185"/>
    </row>
    <row r="4858" spans="1:16" hidden="1" outlineLevel="2">
      <c r="E4858" s="72"/>
      <c r="F4858" s="21"/>
      <c r="G4858" s="34"/>
      <c r="H4858" s="30" t="s">
        <v>5261</v>
      </c>
      <c r="I4858" s="35"/>
      <c r="J4858" s="41"/>
      <c r="K4858" s="10"/>
      <c r="L4858" s="32"/>
      <c r="M4858" s="10"/>
      <c r="N4858" s="33">
        <v>280</v>
      </c>
      <c r="O4858" s="31">
        <f>ROUND(PRODUCT(J4858:N4858),2)</f>
        <v>280</v>
      </c>
      <c r="P4858" s="185"/>
    </row>
    <row r="4859" spans="1:16" ht="30" hidden="1" outlineLevel="1">
      <c r="A4859" s="2">
        <v>11</v>
      </c>
      <c r="B4859" s="2">
        <v>1</v>
      </c>
      <c r="C4859" s="2">
        <f>C4857+1</f>
        <v>34</v>
      </c>
      <c r="E4859" s="20" t="str">
        <f>CONCATENATE(A4859,".",B4859,".",C4859)</f>
        <v>11.1.34</v>
      </c>
      <c r="F4859" s="21" t="s">
        <v>5262</v>
      </c>
      <c r="G4859" s="24" t="s">
        <v>5263</v>
      </c>
      <c r="H4859" s="23" t="s">
        <v>3867</v>
      </c>
      <c r="I4859" s="24" t="s">
        <v>36</v>
      </c>
      <c r="J4859" s="32"/>
      <c r="K4859" s="10"/>
      <c r="L4859" s="32"/>
      <c r="M4859" s="10"/>
      <c r="N4859" s="33"/>
      <c r="O4859" s="11">
        <f>SUM(O4860)</f>
        <v>1</v>
      </c>
      <c r="P4859" s="185"/>
    </row>
    <row r="4860" spans="1:16" hidden="1" outlineLevel="2">
      <c r="E4860" s="72"/>
      <c r="F4860" s="21"/>
      <c r="G4860" s="34"/>
      <c r="H4860" s="30" t="s">
        <v>5261</v>
      </c>
      <c r="I4860" s="35"/>
      <c r="J4860" s="41"/>
      <c r="K4860" s="10"/>
      <c r="L4860" s="32"/>
      <c r="M4860" s="10"/>
      <c r="N4860" s="33">
        <v>1</v>
      </c>
      <c r="O4860" s="31">
        <f>ROUND(PRODUCT(J4860:N4860),2)</f>
        <v>1</v>
      </c>
      <c r="P4860" s="185"/>
    </row>
    <row r="4861" spans="1:16" ht="30" hidden="1" outlineLevel="1">
      <c r="A4861" s="2">
        <v>11</v>
      </c>
      <c r="B4861" s="2">
        <v>1</v>
      </c>
      <c r="C4861" s="2">
        <f>C4859+1</f>
        <v>35</v>
      </c>
      <c r="E4861" s="20" t="str">
        <f>CONCATENATE(A4861,".",B4861,".",C4861)</f>
        <v>11.1.35</v>
      </c>
      <c r="F4861" s="21" t="s">
        <v>5264</v>
      </c>
      <c r="G4861" s="22">
        <v>94796</v>
      </c>
      <c r="H4861" s="23" t="s">
        <v>1830</v>
      </c>
      <c r="I4861" s="24" t="s">
        <v>36</v>
      </c>
      <c r="J4861" s="32"/>
      <c r="K4861" s="10"/>
      <c r="L4861" s="32"/>
      <c r="M4861" s="10"/>
      <c r="N4861" s="33"/>
      <c r="O4861" s="11">
        <f>SUM(O4862)</f>
        <v>11</v>
      </c>
      <c r="P4861" s="185"/>
    </row>
    <row r="4862" spans="1:16" hidden="1" outlineLevel="2">
      <c r="E4862" s="72"/>
      <c r="F4862" s="21"/>
      <c r="G4862" s="22"/>
      <c r="H4862" s="23"/>
      <c r="I4862" s="35"/>
      <c r="J4862" s="41"/>
      <c r="K4862" s="10"/>
      <c r="L4862" s="32"/>
      <c r="M4862" s="10"/>
      <c r="N4862" s="33">
        <v>11</v>
      </c>
      <c r="O4862" s="31">
        <f>ROUND(PRODUCT(J4862:N4862),2)</f>
        <v>11</v>
      </c>
      <c r="P4862" s="185"/>
    </row>
    <row r="4863" spans="1:16" ht="30" hidden="1" outlineLevel="1">
      <c r="A4863" s="2">
        <v>11</v>
      </c>
      <c r="B4863" s="2">
        <v>1</v>
      </c>
      <c r="C4863" s="2">
        <f>C4861+1</f>
        <v>36</v>
      </c>
      <c r="E4863" s="20" t="str">
        <f>CONCATENATE(A4863,".",B4863,".",C4863)</f>
        <v>11.1.36</v>
      </c>
      <c r="F4863" s="21" t="s">
        <v>5265</v>
      </c>
      <c r="G4863" s="22">
        <v>94800</v>
      </c>
      <c r="H4863" s="23" t="s">
        <v>5266</v>
      </c>
      <c r="I4863" s="24" t="s">
        <v>36</v>
      </c>
      <c r="J4863" s="32"/>
      <c r="K4863" s="10"/>
      <c r="L4863" s="32"/>
      <c r="M4863" s="10"/>
      <c r="N4863" s="33"/>
      <c r="O4863" s="11">
        <f>SUM(O4864)</f>
        <v>1</v>
      </c>
      <c r="P4863" s="185"/>
    </row>
    <row r="4864" spans="1:16" hidden="1" outlineLevel="2">
      <c r="E4864" s="72"/>
      <c r="F4864" s="21"/>
      <c r="G4864" s="22"/>
      <c r="H4864" s="23"/>
      <c r="I4864" s="35"/>
      <c r="J4864" s="41"/>
      <c r="K4864" s="10"/>
      <c r="L4864" s="32"/>
      <c r="M4864" s="10"/>
      <c r="N4864" s="33">
        <v>1</v>
      </c>
      <c r="O4864" s="31">
        <f>ROUND(PRODUCT(J4864:N4864),2)</f>
        <v>1</v>
      </c>
      <c r="P4864" s="185"/>
    </row>
    <row r="4865" spans="1:17" ht="30" hidden="1" outlineLevel="1">
      <c r="A4865" s="2">
        <v>11</v>
      </c>
      <c r="B4865" s="2">
        <v>1</v>
      </c>
      <c r="C4865" s="2">
        <f>C4863+1</f>
        <v>37</v>
      </c>
      <c r="E4865" s="20" t="str">
        <f>CONCATENATE(A4865,".",B4865,".",C4865)</f>
        <v>11.1.37</v>
      </c>
      <c r="F4865" s="21" t="s">
        <v>5267</v>
      </c>
      <c r="G4865" s="22">
        <v>94798</v>
      </c>
      <c r="H4865" s="23" t="s">
        <v>5268</v>
      </c>
      <c r="I4865" s="24" t="s">
        <v>36</v>
      </c>
      <c r="J4865" s="32"/>
      <c r="K4865" s="10"/>
      <c r="L4865" s="32"/>
      <c r="M4865" s="10"/>
      <c r="N4865" s="33"/>
      <c r="O4865" s="11">
        <f>SUM(O4866)</f>
        <v>1</v>
      </c>
      <c r="P4865" s="185"/>
    </row>
    <row r="4866" spans="1:17" hidden="1" outlineLevel="2">
      <c r="E4866" s="72"/>
      <c r="F4866" s="21"/>
      <c r="G4866" s="22"/>
      <c r="H4866" s="23"/>
      <c r="I4866" s="35"/>
      <c r="J4866" s="41"/>
      <c r="K4866" s="10"/>
      <c r="L4866" s="32"/>
      <c r="M4866" s="10"/>
      <c r="N4866" s="33">
        <v>1</v>
      </c>
      <c r="O4866" s="31">
        <f>ROUND(PRODUCT(J4866:N4866),2)</f>
        <v>1</v>
      </c>
      <c r="P4866" s="185"/>
    </row>
    <row r="4867" spans="1:17" ht="30" hidden="1" outlineLevel="1">
      <c r="A4867" s="2">
        <v>11</v>
      </c>
      <c r="B4867" s="2">
        <v>1</v>
      </c>
      <c r="C4867" s="2">
        <f>C4865+1</f>
        <v>38</v>
      </c>
      <c r="E4867" s="20" t="str">
        <f>CONCATENATE(A4867,".",B4867,".",C4867)</f>
        <v>11.1.38</v>
      </c>
      <c r="F4867" s="21" t="s">
        <v>5269</v>
      </c>
      <c r="G4867" s="22">
        <v>102137</v>
      </c>
      <c r="H4867" s="23" t="s">
        <v>5270</v>
      </c>
      <c r="I4867" s="24" t="s">
        <v>36</v>
      </c>
      <c r="J4867" s="32"/>
      <c r="K4867" s="10"/>
      <c r="L4867" s="32"/>
      <c r="M4867" s="10"/>
      <c r="N4867" s="33"/>
      <c r="O4867" s="11">
        <f>SUM(O4868)</f>
        <v>1</v>
      </c>
      <c r="P4867" s="185"/>
    </row>
    <row r="4868" spans="1:17" hidden="1" outlineLevel="2">
      <c r="E4868" s="72"/>
      <c r="F4868" s="21"/>
      <c r="G4868" s="22"/>
      <c r="H4868" s="23"/>
      <c r="I4868" s="35"/>
      <c r="J4868" s="41"/>
      <c r="K4868" s="10"/>
      <c r="L4868" s="32"/>
      <c r="M4868" s="10"/>
      <c r="N4868" s="33">
        <v>1</v>
      </c>
      <c r="O4868" s="31">
        <f>ROUND(PRODUCT(J4868:N4868),2)</f>
        <v>1</v>
      </c>
      <c r="P4868" s="185"/>
    </row>
    <row r="4869" spans="1:17" ht="30" hidden="1" outlineLevel="1">
      <c r="A4869" s="2">
        <v>11</v>
      </c>
      <c r="B4869" s="2">
        <v>1</v>
      </c>
      <c r="C4869" s="2">
        <f>C4867+1</f>
        <v>39</v>
      </c>
      <c r="E4869" s="20" t="str">
        <f>CONCATENATE(A4869,".",B4869,".",C4869)</f>
        <v>11.1.39</v>
      </c>
      <c r="F4869" s="21" t="s">
        <v>5271</v>
      </c>
      <c r="G4869" s="22">
        <v>103013</v>
      </c>
      <c r="H4869" s="23" t="s">
        <v>5272</v>
      </c>
      <c r="I4869" s="24" t="s">
        <v>36</v>
      </c>
      <c r="J4869" s="32"/>
      <c r="K4869" s="10"/>
      <c r="L4869" s="32"/>
      <c r="M4869" s="10"/>
      <c r="N4869" s="33"/>
      <c r="O4869" s="11">
        <f>SUM(O4870)</f>
        <v>1</v>
      </c>
      <c r="P4869" s="185"/>
    </row>
    <row r="4870" spans="1:17" hidden="1" outlineLevel="2">
      <c r="E4870" s="72"/>
      <c r="F4870" s="21"/>
      <c r="G4870" s="22"/>
      <c r="H4870" s="23"/>
      <c r="I4870" s="35"/>
      <c r="J4870" s="41"/>
      <c r="K4870" s="10"/>
      <c r="L4870" s="32"/>
      <c r="M4870" s="10"/>
      <c r="N4870" s="33">
        <v>1</v>
      </c>
      <c r="O4870" s="31">
        <f>ROUND(PRODUCT(J4870:N4870),2)</f>
        <v>1</v>
      </c>
      <c r="P4870" s="185"/>
    </row>
    <row r="4871" spans="1:17" ht="30" hidden="1" outlineLevel="1">
      <c r="A4871" s="2">
        <v>11</v>
      </c>
      <c r="B4871" s="2">
        <v>1</v>
      </c>
      <c r="C4871" s="2">
        <f>C4869+1</f>
        <v>40</v>
      </c>
      <c r="E4871" s="20" t="str">
        <f>CONCATENATE(A4871,".",B4871,".",C4871)</f>
        <v>11.1.40</v>
      </c>
      <c r="F4871" s="21" t="s">
        <v>5273</v>
      </c>
      <c r="G4871" s="22">
        <v>103016</v>
      </c>
      <c r="H4871" s="23" t="s">
        <v>5274</v>
      </c>
      <c r="I4871" s="24" t="s">
        <v>36</v>
      </c>
      <c r="J4871" s="32"/>
      <c r="K4871" s="10"/>
      <c r="L4871" s="32"/>
      <c r="M4871" s="10"/>
      <c r="N4871" s="33"/>
      <c r="O4871" s="11">
        <f>SUM(O4872)</f>
        <v>1</v>
      </c>
      <c r="P4871" s="185"/>
    </row>
    <row r="4872" spans="1:17" hidden="1" outlineLevel="2">
      <c r="E4872" s="72"/>
      <c r="F4872" s="21"/>
      <c r="G4872" s="22"/>
      <c r="H4872" s="23"/>
      <c r="I4872" s="35"/>
      <c r="J4872" s="41"/>
      <c r="K4872" s="10"/>
      <c r="L4872" s="32"/>
      <c r="M4872" s="10"/>
      <c r="N4872" s="33">
        <v>1</v>
      </c>
      <c r="O4872" s="31">
        <f>ROUND(PRODUCT(J4872:N4872),2)</f>
        <v>1</v>
      </c>
      <c r="P4872" s="185"/>
    </row>
    <row r="4873" spans="1:17" hidden="1" outlineLevel="1">
      <c r="A4873" s="2">
        <v>11</v>
      </c>
      <c r="B4873" s="2">
        <v>1</v>
      </c>
      <c r="C4873" s="2">
        <f>C4871+1</f>
        <v>41</v>
      </c>
      <c r="E4873" s="20" t="str">
        <f>CONCATENATE(A4873,".",B4873,".",C4873)</f>
        <v>11.1.41</v>
      </c>
      <c r="F4873" s="21" t="s">
        <v>5275</v>
      </c>
      <c r="G4873" s="22">
        <v>104992</v>
      </c>
      <c r="H4873" s="23" t="s">
        <v>5276</v>
      </c>
      <c r="I4873" s="24" t="s">
        <v>36</v>
      </c>
      <c r="J4873" s="32"/>
      <c r="K4873" s="10"/>
      <c r="L4873" s="32"/>
      <c r="M4873" s="10"/>
      <c r="N4873" s="33"/>
      <c r="O4873" s="11">
        <f>SUM(O4874)</f>
        <v>1</v>
      </c>
      <c r="P4873" s="185"/>
    </row>
    <row r="4874" spans="1:17" hidden="1" outlineLevel="2">
      <c r="E4874" s="72"/>
      <c r="F4874" s="21"/>
      <c r="G4874" s="22"/>
      <c r="H4874" s="23"/>
      <c r="I4874" s="35"/>
      <c r="J4874" s="41"/>
      <c r="K4874" s="10"/>
      <c r="L4874" s="32"/>
      <c r="M4874" s="10"/>
      <c r="N4874" s="33">
        <v>1</v>
      </c>
      <c r="O4874" s="31">
        <f>ROUND(PRODUCT(J4874:N4874),2)</f>
        <v>1</v>
      </c>
      <c r="P4874" s="185"/>
    </row>
    <row r="4875" spans="1:17" ht="30" hidden="1" outlineLevel="1">
      <c r="A4875" s="2">
        <v>11</v>
      </c>
      <c r="B4875" s="2">
        <v>1</v>
      </c>
      <c r="C4875" s="2">
        <f>C4873+1</f>
        <v>42</v>
      </c>
      <c r="E4875" s="20" t="str">
        <f>CONCATENATE(A4875,".",B4875,".",C4875)</f>
        <v>11.1.42</v>
      </c>
      <c r="F4875" s="21" t="s">
        <v>5277</v>
      </c>
      <c r="G4875" s="24">
        <v>94798</v>
      </c>
      <c r="H4875" s="23" t="s">
        <v>5268</v>
      </c>
      <c r="I4875" s="24" t="s">
        <v>36</v>
      </c>
      <c r="J4875" s="32"/>
      <c r="K4875" s="10"/>
      <c r="L4875" s="32"/>
      <c r="M4875" s="10"/>
      <c r="N4875" s="33"/>
      <c r="O4875" s="11">
        <f>SUM(O4876)</f>
        <v>1</v>
      </c>
      <c r="P4875" s="185"/>
    </row>
    <row r="4876" spans="1:17" hidden="1" outlineLevel="2">
      <c r="E4876" s="72"/>
      <c r="F4876" s="21"/>
      <c r="G4876" s="34"/>
      <c r="H4876" s="30" t="s">
        <v>5261</v>
      </c>
      <c r="I4876" s="35"/>
      <c r="J4876" s="41"/>
      <c r="K4876" s="10"/>
      <c r="L4876" s="32"/>
      <c r="M4876" s="10"/>
      <c r="N4876" s="33">
        <v>1</v>
      </c>
      <c r="O4876" s="31">
        <f>ROUND(PRODUCT(J4876:N4876),2)</f>
        <v>1</v>
      </c>
      <c r="P4876" s="185"/>
    </row>
    <row r="4877" spans="1:17" hidden="1" outlineLevel="1">
      <c r="A4877" s="2">
        <v>11</v>
      </c>
      <c r="B4877" s="2">
        <v>1</v>
      </c>
      <c r="C4877" s="2">
        <f>C4875+1</f>
        <v>43</v>
      </c>
      <c r="E4877" s="20" t="str">
        <f>CONCATENATE(A4877,".",B4877,".",C4877)</f>
        <v>11.1.43</v>
      </c>
      <c r="F4877" s="21" t="s">
        <v>5278</v>
      </c>
      <c r="G4877" s="24" t="s">
        <v>5279</v>
      </c>
      <c r="H4877" s="23" t="s">
        <v>5280</v>
      </c>
      <c r="I4877" s="24" t="s">
        <v>36</v>
      </c>
      <c r="J4877" s="32"/>
      <c r="K4877" s="10"/>
      <c r="L4877" s="32"/>
      <c r="M4877" s="10"/>
      <c r="N4877" s="33"/>
      <c r="O4877" s="11">
        <f>SUM(O4878)</f>
        <v>5</v>
      </c>
      <c r="P4877" s="185"/>
    </row>
    <row r="4878" spans="1:17" hidden="1" outlineLevel="2">
      <c r="E4878" s="72"/>
      <c r="F4878" s="21"/>
      <c r="G4878" s="34"/>
      <c r="H4878" s="30" t="s">
        <v>5261</v>
      </c>
      <c r="I4878" s="35"/>
      <c r="J4878" s="41"/>
      <c r="K4878" s="10"/>
      <c r="L4878" s="32"/>
      <c r="M4878" s="10"/>
      <c r="N4878" s="33">
        <v>5</v>
      </c>
      <c r="O4878" s="31">
        <f>ROUND(PRODUCT(J4878:N4878),2)</f>
        <v>5</v>
      </c>
      <c r="P4878" s="185"/>
    </row>
    <row r="4879" spans="1:17" collapsed="1">
      <c r="A4879" s="2">
        <v>11</v>
      </c>
      <c r="B4879" s="2">
        <v>2</v>
      </c>
      <c r="E4879" s="42" t="str">
        <f>CONCATENATE(A4879,".",B4879)</f>
        <v>11.2</v>
      </c>
      <c r="F4879" s="45" t="s">
        <v>5281</v>
      </c>
      <c r="G4879" s="13"/>
      <c r="H4879" s="14" t="s">
        <v>2308</v>
      </c>
      <c r="I4879" s="15"/>
      <c r="J4879" s="16"/>
      <c r="K4879" s="17"/>
      <c r="L4879" s="16"/>
      <c r="M4879" s="17"/>
      <c r="N4879" s="18"/>
      <c r="O4879" s="19"/>
      <c r="P4879" s="185"/>
      <c r="Q4879" s="185"/>
    </row>
    <row r="4880" spans="1:17" ht="45" hidden="1" outlineLevel="1">
      <c r="A4880" s="2">
        <v>11</v>
      </c>
      <c r="B4880" s="2">
        <v>2</v>
      </c>
      <c r="C4880" s="2">
        <f>C4879+1</f>
        <v>1</v>
      </c>
      <c r="E4880" s="20" t="str">
        <f>CONCATENATE(A4880,".",B4880,".",C4880)</f>
        <v>11.2.1</v>
      </c>
      <c r="F4880" s="21" t="s">
        <v>5282</v>
      </c>
      <c r="G4880" s="22">
        <v>103379</v>
      </c>
      <c r="H4880" s="23" t="s">
        <v>5283</v>
      </c>
      <c r="I4880" s="24" t="s">
        <v>144</v>
      </c>
      <c r="J4880" s="32"/>
      <c r="K4880" s="10"/>
      <c r="L4880" s="32"/>
      <c r="M4880" s="10"/>
      <c r="N4880" s="33"/>
      <c r="O4880" s="11">
        <f>SUM(O4881)</f>
        <v>309.89999999999998</v>
      </c>
      <c r="P4880" s="185"/>
    </row>
    <row r="4881" spans="1:17" hidden="1" outlineLevel="2">
      <c r="E4881" s="72"/>
      <c r="F4881" s="21"/>
      <c r="G4881" s="22"/>
      <c r="H4881" s="23"/>
      <c r="I4881" s="35"/>
      <c r="J4881" s="41"/>
      <c r="K4881" s="10"/>
      <c r="L4881" s="32"/>
      <c r="M4881" s="10"/>
      <c r="N4881" s="33">
        <v>309.89999999999998</v>
      </c>
      <c r="O4881" s="31">
        <f>ROUND(PRODUCT(J4881:N4881),2)</f>
        <v>309.89999999999998</v>
      </c>
      <c r="P4881" s="185"/>
    </row>
    <row r="4882" spans="1:17" ht="45" hidden="1" outlineLevel="1">
      <c r="A4882" s="2">
        <v>11</v>
      </c>
      <c r="B4882" s="2">
        <v>2</v>
      </c>
      <c r="C4882" s="2">
        <f>C4880+1</f>
        <v>2</v>
      </c>
      <c r="E4882" s="20" t="str">
        <f>CONCATENATE(A4882,".",B4882,".",C4882)</f>
        <v>11.2.2</v>
      </c>
      <c r="F4882" s="21" t="s">
        <v>5284</v>
      </c>
      <c r="G4882" s="22">
        <v>97903</v>
      </c>
      <c r="H4882" s="23" t="s">
        <v>2328</v>
      </c>
      <c r="I4882" s="24" t="s">
        <v>36</v>
      </c>
      <c r="J4882" s="32"/>
      <c r="K4882" s="10"/>
      <c r="L4882" s="32"/>
      <c r="M4882" s="10"/>
      <c r="N4882" s="33"/>
      <c r="O4882" s="11">
        <f>SUM(O4883)</f>
        <v>4</v>
      </c>
      <c r="P4882" s="185"/>
    </row>
    <row r="4883" spans="1:17" hidden="1" outlineLevel="2">
      <c r="E4883" s="72"/>
      <c r="F4883" s="21"/>
      <c r="G4883" s="34"/>
      <c r="H4883" s="30"/>
      <c r="I4883" s="35"/>
      <c r="J4883" s="41"/>
      <c r="K4883" s="10"/>
      <c r="L4883" s="32"/>
      <c r="M4883" s="10"/>
      <c r="N4883" s="33">
        <v>4</v>
      </c>
      <c r="O4883" s="31">
        <f>ROUND(PRODUCT(J4883:N4883),2)</f>
        <v>4</v>
      </c>
      <c r="P4883" s="185"/>
    </row>
    <row r="4884" spans="1:17" ht="45" hidden="1" outlineLevel="1">
      <c r="A4884" s="2">
        <v>11</v>
      </c>
      <c r="B4884" s="2">
        <v>2</v>
      </c>
      <c r="C4884" s="2">
        <f>C4882+1</f>
        <v>3</v>
      </c>
      <c r="E4884" s="20" t="str">
        <f>CONCATENATE(A4884,".",B4884,".",C4884)</f>
        <v>11.2.3</v>
      </c>
      <c r="F4884" s="21" t="s">
        <v>5285</v>
      </c>
      <c r="G4884" s="22" t="s">
        <v>5286</v>
      </c>
      <c r="H4884" s="23" t="s">
        <v>5287</v>
      </c>
      <c r="I4884" s="24" t="s">
        <v>144</v>
      </c>
      <c r="J4884" s="32"/>
      <c r="K4884" s="10"/>
      <c r="L4884" s="32"/>
      <c r="M4884" s="10"/>
      <c r="N4884" s="33"/>
      <c r="O4884" s="11">
        <f>SUM(O4885)</f>
        <v>463</v>
      </c>
      <c r="P4884" s="185"/>
    </row>
    <row r="4885" spans="1:17" hidden="1" outlineLevel="2">
      <c r="E4885" s="72"/>
      <c r="F4885" s="21"/>
      <c r="G4885" s="22"/>
      <c r="H4885" s="23"/>
      <c r="I4885" s="35"/>
      <c r="J4885" s="41"/>
      <c r="K4885" s="10"/>
      <c r="L4885" s="32"/>
      <c r="M4885" s="10"/>
      <c r="N4885" s="33">
        <v>463</v>
      </c>
      <c r="O4885" s="31">
        <f>ROUND(PRODUCT(J4885:N4885),2)</f>
        <v>463</v>
      </c>
      <c r="P4885" s="185"/>
    </row>
    <row r="4886" spans="1:17" hidden="1" outlineLevel="1">
      <c r="A4886" s="2">
        <v>11</v>
      </c>
      <c r="B4886" s="2">
        <v>2</v>
      </c>
      <c r="C4886" s="2">
        <f>C4884+1</f>
        <v>4</v>
      </c>
      <c r="E4886" s="20" t="str">
        <f>CONCATENATE(A4886,".",B4886,".",C4886)</f>
        <v>11.2.4</v>
      </c>
      <c r="F4886" s="21" t="s">
        <v>5288</v>
      </c>
      <c r="G4886" s="22" t="s">
        <v>5289</v>
      </c>
      <c r="H4886" s="23" t="s">
        <v>5290</v>
      </c>
      <c r="I4886" s="24" t="s">
        <v>36</v>
      </c>
      <c r="J4886" s="32"/>
      <c r="K4886" s="10"/>
      <c r="L4886" s="32"/>
      <c r="M4886" s="10"/>
      <c r="N4886" s="33"/>
      <c r="O4886" s="11">
        <f>SUM(O4887)</f>
        <v>10</v>
      </c>
      <c r="P4886" s="185"/>
    </row>
    <row r="4887" spans="1:17" hidden="1" outlineLevel="2">
      <c r="E4887" s="72"/>
      <c r="F4887" s="21"/>
      <c r="G4887" s="22"/>
      <c r="H4887" s="23"/>
      <c r="I4887" s="35"/>
      <c r="J4887" s="41"/>
      <c r="K4887" s="10"/>
      <c r="L4887" s="32"/>
      <c r="M4887" s="10"/>
      <c r="N4887" s="33">
        <v>10</v>
      </c>
      <c r="O4887" s="31">
        <f>ROUND(PRODUCT(J4887:N4887),2)</f>
        <v>10</v>
      </c>
      <c r="P4887" s="185"/>
    </row>
    <row r="4888" spans="1:17" collapsed="1">
      <c r="A4888" s="2">
        <v>11</v>
      </c>
      <c r="B4888" s="2">
        <v>3</v>
      </c>
      <c r="E4888" s="42" t="str">
        <f>CONCATENATE(A4888,".",B4888)</f>
        <v>11.3</v>
      </c>
      <c r="F4888" s="45" t="s">
        <v>5291</v>
      </c>
      <c r="G4888" s="13"/>
      <c r="H4888" s="14" t="s">
        <v>2340</v>
      </c>
      <c r="I4888" s="15"/>
      <c r="J4888" s="16"/>
      <c r="K4888" s="17"/>
      <c r="L4888" s="16"/>
      <c r="M4888" s="17"/>
      <c r="N4888" s="18"/>
      <c r="O4888" s="19"/>
      <c r="P4888" s="185"/>
      <c r="Q4888" s="185"/>
    </row>
    <row r="4889" spans="1:17" ht="45" hidden="1" outlineLevel="1">
      <c r="A4889" s="2">
        <v>11</v>
      </c>
      <c r="B4889" s="2">
        <v>3</v>
      </c>
      <c r="C4889" s="2">
        <v>1</v>
      </c>
      <c r="E4889" s="20" t="str">
        <f>CONCATENATE(A4889,".",B4889,".",C4889)</f>
        <v>11.3.1</v>
      </c>
      <c r="F4889" s="21" t="s">
        <v>5292</v>
      </c>
      <c r="G4889" s="22">
        <v>101637</v>
      </c>
      <c r="H4889" s="23" t="s">
        <v>5293</v>
      </c>
      <c r="I4889" s="24" t="s">
        <v>36</v>
      </c>
      <c r="J4889" s="32"/>
      <c r="K4889" s="10"/>
      <c r="L4889" s="32"/>
      <c r="M4889" s="10"/>
      <c r="N4889" s="33"/>
      <c r="O4889" s="11">
        <f>SUM(O4890:O4893)</f>
        <v>8</v>
      </c>
      <c r="P4889" s="185"/>
    </row>
    <row r="4890" spans="1:17" hidden="1" outlineLevel="1">
      <c r="E4890" s="59"/>
      <c r="F4890" s="60"/>
      <c r="G4890" s="34"/>
      <c r="H4890" s="30" t="s">
        <v>5294</v>
      </c>
      <c r="I4890" s="35"/>
      <c r="J4890" s="41"/>
      <c r="K4890" s="10"/>
      <c r="L4890" s="32"/>
      <c r="M4890" s="10"/>
      <c r="N4890" s="33">
        <v>3</v>
      </c>
      <c r="O4890" s="31">
        <f>ROUND(PRODUCT(J4890:N4890),2)</f>
        <v>3</v>
      </c>
      <c r="P4890" s="185"/>
    </row>
    <row r="4891" spans="1:17" hidden="1" outlineLevel="1">
      <c r="E4891" s="59"/>
      <c r="F4891" s="60"/>
      <c r="G4891" s="34"/>
      <c r="H4891" s="30" t="s">
        <v>5295</v>
      </c>
      <c r="I4891" s="35"/>
      <c r="J4891" s="41"/>
      <c r="K4891" s="10"/>
      <c r="L4891" s="32"/>
      <c r="M4891" s="10"/>
      <c r="N4891" s="33">
        <v>1</v>
      </c>
      <c r="O4891" s="31">
        <f>ROUND(PRODUCT(J4891:N4891),2)</f>
        <v>1</v>
      </c>
      <c r="P4891" s="185"/>
    </row>
    <row r="4892" spans="1:17" hidden="1" outlineLevel="1">
      <c r="E4892" s="59"/>
      <c r="F4892" s="60"/>
      <c r="G4892" s="34"/>
      <c r="H4892" s="30" t="s">
        <v>5296</v>
      </c>
      <c r="I4892" s="35"/>
      <c r="J4892" s="41"/>
      <c r="K4892" s="10"/>
      <c r="L4892" s="32"/>
      <c r="M4892" s="10"/>
      <c r="N4892" s="33">
        <v>3</v>
      </c>
      <c r="O4892" s="31">
        <f>ROUND(PRODUCT(J4892:N4892),2)</f>
        <v>3</v>
      </c>
      <c r="P4892" s="185"/>
    </row>
    <row r="4893" spans="1:17" hidden="1" outlineLevel="1">
      <c r="E4893" s="59"/>
      <c r="F4893" s="60"/>
      <c r="G4893" s="34"/>
      <c r="H4893" s="30" t="s">
        <v>5297</v>
      </c>
      <c r="I4893" s="35"/>
      <c r="J4893" s="41"/>
      <c r="K4893" s="10"/>
      <c r="L4893" s="32"/>
      <c r="M4893" s="10"/>
      <c r="N4893" s="33">
        <v>1</v>
      </c>
      <c r="O4893" s="31">
        <f>ROUND(PRODUCT(J4893:N4893),2)</f>
        <v>1</v>
      </c>
      <c r="P4893" s="185"/>
    </row>
    <row r="4894" spans="1:17" ht="30" hidden="1" outlineLevel="1">
      <c r="A4894" s="2">
        <v>11</v>
      </c>
      <c r="B4894" s="2">
        <v>3</v>
      </c>
      <c r="C4894" s="2">
        <f>C4889+1</f>
        <v>2</v>
      </c>
      <c r="E4894" s="20" t="str">
        <f>CONCATENATE(A4894,".",B4894,".",C4894)</f>
        <v>11.3.2</v>
      </c>
      <c r="F4894" s="21" t="s">
        <v>5298</v>
      </c>
      <c r="G4894" s="22">
        <v>101553</v>
      </c>
      <c r="H4894" s="23" t="s">
        <v>5299</v>
      </c>
      <c r="I4894" s="24" t="s">
        <v>36</v>
      </c>
      <c r="J4894" s="32"/>
      <c r="K4894" s="10"/>
      <c r="L4894" s="32"/>
      <c r="M4894" s="10"/>
      <c r="N4894" s="33"/>
      <c r="O4894" s="11">
        <f>SUM(O4895:O4899)</f>
        <v>31</v>
      </c>
      <c r="P4894" s="185"/>
    </row>
    <row r="4895" spans="1:17" hidden="1" outlineLevel="1">
      <c r="E4895" s="59"/>
      <c r="F4895" s="60"/>
      <c r="G4895" s="34"/>
      <c r="H4895" s="30" t="s">
        <v>5300</v>
      </c>
      <c r="I4895" s="35"/>
      <c r="J4895" s="41"/>
      <c r="K4895" s="10"/>
      <c r="L4895" s="32"/>
      <c r="M4895" s="10"/>
      <c r="N4895" s="33">
        <v>12</v>
      </c>
      <c r="O4895" s="31">
        <f>ROUND(PRODUCT(J4895:N4895),2)</f>
        <v>12</v>
      </c>
      <c r="P4895" s="185"/>
    </row>
    <row r="4896" spans="1:17" hidden="1" outlineLevel="1">
      <c r="E4896" s="59"/>
      <c r="F4896" s="60"/>
      <c r="G4896" s="34"/>
      <c r="H4896" s="30" t="s">
        <v>5301</v>
      </c>
      <c r="I4896" s="35"/>
      <c r="J4896" s="41"/>
      <c r="K4896" s="10"/>
      <c r="L4896" s="32"/>
      <c r="M4896" s="10"/>
      <c r="N4896" s="33">
        <v>9</v>
      </c>
      <c r="O4896" s="31">
        <f>ROUND(PRODUCT(J4896:N4896),2)</f>
        <v>9</v>
      </c>
      <c r="P4896" s="185"/>
    </row>
    <row r="4897" spans="1:16" hidden="1" outlineLevel="1">
      <c r="E4897" s="59"/>
      <c r="F4897" s="60"/>
      <c r="G4897" s="34"/>
      <c r="H4897" s="30" t="s">
        <v>5302</v>
      </c>
      <c r="I4897" s="35"/>
      <c r="J4897" s="41"/>
      <c r="K4897" s="10"/>
      <c r="L4897" s="32"/>
      <c r="M4897" s="10"/>
      <c r="N4897" s="33">
        <v>7</v>
      </c>
      <c r="O4897" s="31">
        <f>ROUND(PRODUCT(J4897:N4897),2)</f>
        <v>7</v>
      </c>
      <c r="P4897" s="185"/>
    </row>
    <row r="4898" spans="1:16" hidden="1" outlineLevel="1">
      <c r="E4898" s="59"/>
      <c r="F4898" s="60"/>
      <c r="G4898" s="34"/>
      <c r="H4898" s="30" t="s">
        <v>5303</v>
      </c>
      <c r="I4898" s="35"/>
      <c r="J4898" s="41"/>
      <c r="K4898" s="10"/>
      <c r="L4898" s="32"/>
      <c r="M4898" s="10"/>
      <c r="N4898" s="33">
        <v>2</v>
      </c>
      <c r="O4898" s="31">
        <f>ROUND(PRODUCT(J4898:N4898),2)</f>
        <v>2</v>
      </c>
      <c r="P4898" s="185"/>
    </row>
    <row r="4899" spans="1:16" hidden="1" outlineLevel="1">
      <c r="E4899" s="59"/>
      <c r="F4899" s="60"/>
      <c r="G4899" s="34"/>
      <c r="H4899" s="30" t="s">
        <v>5297</v>
      </c>
      <c r="I4899" s="35"/>
      <c r="J4899" s="41"/>
      <c r="K4899" s="10"/>
      <c r="L4899" s="32"/>
      <c r="M4899" s="10"/>
      <c r="N4899" s="33">
        <v>1</v>
      </c>
      <c r="O4899" s="31">
        <f>ROUND(PRODUCT(J4899:N4899),2)</f>
        <v>1</v>
      </c>
      <c r="P4899" s="185"/>
    </row>
    <row r="4900" spans="1:16" ht="45" hidden="1" outlineLevel="1">
      <c r="A4900" s="2">
        <v>11</v>
      </c>
      <c r="B4900" s="2">
        <v>3</v>
      </c>
      <c r="C4900" s="2">
        <f>C4894+1</f>
        <v>3</v>
      </c>
      <c r="E4900" s="20" t="str">
        <f>CONCATENATE(A4900,".",B4900,".",C4900)</f>
        <v>11.3.3</v>
      </c>
      <c r="F4900" s="21" t="s">
        <v>5304</v>
      </c>
      <c r="G4900" s="22">
        <v>104750</v>
      </c>
      <c r="H4900" s="23" t="s">
        <v>5305</v>
      </c>
      <c r="I4900" s="24" t="s">
        <v>36</v>
      </c>
      <c r="J4900" s="32"/>
      <c r="K4900" s="10"/>
      <c r="L4900" s="32"/>
      <c r="M4900" s="10"/>
      <c r="N4900" s="33"/>
      <c r="O4900" s="11">
        <f>SUM(O4901:O4905)</f>
        <v>45</v>
      </c>
      <c r="P4900" s="185"/>
    </row>
    <row r="4901" spans="1:16" hidden="1" outlineLevel="1">
      <c r="E4901" s="59"/>
      <c r="F4901" s="60"/>
      <c r="G4901" s="34"/>
      <c r="H4901" s="30" t="s">
        <v>5300</v>
      </c>
      <c r="I4901" s="35"/>
      <c r="J4901" s="41"/>
      <c r="K4901" s="10"/>
      <c r="L4901" s="32"/>
      <c r="M4901" s="10"/>
      <c r="N4901" s="33">
        <v>6</v>
      </c>
      <c r="O4901" s="31">
        <f>ROUND(PRODUCT(J4901:N4901),2)</f>
        <v>6</v>
      </c>
      <c r="P4901" s="185"/>
    </row>
    <row r="4902" spans="1:16" hidden="1" outlineLevel="1">
      <c r="E4902" s="59"/>
      <c r="F4902" s="60"/>
      <c r="G4902" s="34"/>
      <c r="H4902" s="30" t="s">
        <v>5301</v>
      </c>
      <c r="I4902" s="35"/>
      <c r="J4902" s="41"/>
      <c r="K4902" s="10"/>
      <c r="L4902" s="32"/>
      <c r="M4902" s="10"/>
      <c r="N4902" s="33">
        <v>9</v>
      </c>
      <c r="O4902" s="31">
        <f>ROUND(PRODUCT(J4902:N4902),2)</f>
        <v>9</v>
      </c>
      <c r="P4902" s="185"/>
    </row>
    <row r="4903" spans="1:16" hidden="1" outlineLevel="1">
      <c r="E4903" s="59"/>
      <c r="F4903" s="60"/>
      <c r="G4903" s="34"/>
      <c r="H4903" s="30" t="s">
        <v>5302</v>
      </c>
      <c r="I4903" s="35"/>
      <c r="J4903" s="41"/>
      <c r="K4903" s="10"/>
      <c r="L4903" s="32"/>
      <c r="M4903" s="10"/>
      <c r="N4903" s="33">
        <v>20</v>
      </c>
      <c r="O4903" s="31">
        <f>ROUND(PRODUCT(J4903:N4903),2)</f>
        <v>20</v>
      </c>
      <c r="P4903" s="185"/>
    </row>
    <row r="4904" spans="1:16" hidden="1" outlineLevel="1">
      <c r="E4904" s="59"/>
      <c r="F4904" s="60"/>
      <c r="G4904" s="34"/>
      <c r="H4904" s="30" t="s">
        <v>5297</v>
      </c>
      <c r="I4904" s="35"/>
      <c r="J4904" s="41"/>
      <c r="K4904" s="10"/>
      <c r="L4904" s="32"/>
      <c r="M4904" s="10"/>
      <c r="N4904" s="33">
        <v>4</v>
      </c>
      <c r="O4904" s="31">
        <f>ROUND(PRODUCT(J4904:N4904),2)</f>
        <v>4</v>
      </c>
      <c r="P4904" s="185"/>
    </row>
    <row r="4905" spans="1:16" hidden="1" outlineLevel="1">
      <c r="E4905" s="59"/>
      <c r="F4905" s="60"/>
      <c r="G4905" s="34"/>
      <c r="H4905" s="30" t="s">
        <v>5303</v>
      </c>
      <c r="I4905" s="35"/>
      <c r="J4905" s="41"/>
      <c r="K4905" s="10"/>
      <c r="L4905" s="32"/>
      <c r="M4905" s="10"/>
      <c r="N4905" s="33">
        <v>6</v>
      </c>
      <c r="O4905" s="31">
        <f>ROUND(PRODUCT(J4905:N4905),2)</f>
        <v>6</v>
      </c>
      <c r="P4905" s="185"/>
    </row>
    <row r="4906" spans="1:16" ht="30" hidden="1" outlineLevel="1">
      <c r="A4906" s="2">
        <v>11</v>
      </c>
      <c r="B4906" s="2">
        <v>3</v>
      </c>
      <c r="C4906" s="2">
        <f>C4900+1</f>
        <v>4</v>
      </c>
      <c r="E4906" s="20" t="str">
        <f>CONCATENATE(A4906,".",B4906,".",C4906)</f>
        <v>11.3.4</v>
      </c>
      <c r="F4906" s="21" t="s">
        <v>5306</v>
      </c>
      <c r="G4906" s="22" t="s">
        <v>5307</v>
      </c>
      <c r="H4906" s="23" t="s">
        <v>5308</v>
      </c>
      <c r="I4906" s="24" t="s">
        <v>36</v>
      </c>
      <c r="J4906" s="32"/>
      <c r="K4906" s="10"/>
      <c r="L4906" s="32"/>
      <c r="M4906" s="10"/>
      <c r="N4906" s="33"/>
      <c r="O4906" s="11">
        <f>SUM(O4907:O4910)</f>
        <v>48</v>
      </c>
      <c r="P4906" s="185"/>
    </row>
    <row r="4907" spans="1:16" hidden="1" outlineLevel="1">
      <c r="E4907" s="59"/>
      <c r="F4907" s="60"/>
      <c r="G4907" s="34"/>
      <c r="H4907" s="30" t="s">
        <v>5301</v>
      </c>
      <c r="I4907" s="35"/>
      <c r="J4907" s="41"/>
      <c r="K4907" s="10"/>
      <c r="L4907" s="32"/>
      <c r="M4907" s="10"/>
      <c r="N4907" s="33">
        <v>3</v>
      </c>
      <c r="O4907" s="31">
        <f>ROUND(PRODUCT(J4907:N4907),2)</f>
        <v>3</v>
      </c>
      <c r="P4907" s="185"/>
    </row>
    <row r="4908" spans="1:16" hidden="1" outlineLevel="1">
      <c r="E4908" s="59"/>
      <c r="F4908" s="60"/>
      <c r="G4908" s="34"/>
      <c r="H4908" s="30" t="s">
        <v>5296</v>
      </c>
      <c r="I4908" s="35"/>
      <c r="J4908" s="41"/>
      <c r="K4908" s="10"/>
      <c r="L4908" s="32"/>
      <c r="M4908" s="10"/>
      <c r="N4908" s="33">
        <v>9</v>
      </c>
      <c r="O4908" s="31">
        <f>ROUND(PRODUCT(J4908:N4908),2)</f>
        <v>9</v>
      </c>
      <c r="P4908" s="185"/>
    </row>
    <row r="4909" spans="1:16" hidden="1" outlineLevel="1">
      <c r="E4909" s="59"/>
      <c r="F4909" s="60"/>
      <c r="G4909" s="34"/>
      <c r="H4909" s="30" t="s">
        <v>5302</v>
      </c>
      <c r="I4909" s="35"/>
      <c r="J4909" s="41"/>
      <c r="K4909" s="10"/>
      <c r="L4909" s="32"/>
      <c r="M4909" s="10"/>
      <c r="N4909" s="33">
        <v>28</v>
      </c>
      <c r="O4909" s="31">
        <f>ROUND(PRODUCT(J4909:N4909),2)</f>
        <v>28</v>
      </c>
      <c r="P4909" s="185"/>
    </row>
    <row r="4910" spans="1:16" hidden="1" outlineLevel="1">
      <c r="E4910" s="59"/>
      <c r="F4910" s="60"/>
      <c r="G4910" s="34"/>
      <c r="H4910" s="30" t="s">
        <v>5303</v>
      </c>
      <c r="I4910" s="35"/>
      <c r="J4910" s="41"/>
      <c r="K4910" s="10"/>
      <c r="L4910" s="32"/>
      <c r="M4910" s="10"/>
      <c r="N4910" s="33">
        <v>8</v>
      </c>
      <c r="O4910" s="31">
        <f>ROUND(PRODUCT(J4910:N4910),2)</f>
        <v>8</v>
      </c>
      <c r="P4910" s="185"/>
    </row>
    <row r="4911" spans="1:16" ht="45" hidden="1" outlineLevel="1">
      <c r="A4911" s="2">
        <v>11</v>
      </c>
      <c r="B4911" s="2">
        <v>3</v>
      </c>
      <c r="C4911" s="2">
        <f>C4906+1</f>
        <v>5</v>
      </c>
      <c r="E4911" s="20" t="str">
        <f>CONCATENATE(A4911,".",B4911,".",C4911)</f>
        <v>11.3.5</v>
      </c>
      <c r="F4911" s="21" t="s">
        <v>5309</v>
      </c>
      <c r="G4911" s="22">
        <v>101636</v>
      </c>
      <c r="H4911" s="23" t="s">
        <v>5310</v>
      </c>
      <c r="I4911" s="24" t="s">
        <v>36</v>
      </c>
      <c r="J4911" s="32"/>
      <c r="K4911" s="10"/>
      <c r="L4911" s="32"/>
      <c r="M4911" s="10"/>
      <c r="N4911" s="33"/>
      <c r="O4911" s="11">
        <f>SUM(O4912)</f>
        <v>1</v>
      </c>
      <c r="P4911" s="185"/>
    </row>
    <row r="4912" spans="1:16" hidden="1" outlineLevel="1">
      <c r="E4912" s="59"/>
      <c r="F4912" s="60"/>
      <c r="G4912" s="34"/>
      <c r="H4912" s="30" t="s">
        <v>5295</v>
      </c>
      <c r="I4912" s="35"/>
      <c r="J4912" s="41"/>
      <c r="K4912" s="10"/>
      <c r="L4912" s="32"/>
      <c r="M4912" s="10"/>
      <c r="N4912" s="33">
        <v>1</v>
      </c>
      <c r="O4912" s="31">
        <f>ROUND(PRODUCT(J4912:N4912),2)</f>
        <v>1</v>
      </c>
      <c r="P4912" s="185"/>
    </row>
    <row r="4913" spans="1:16" ht="30" hidden="1" outlineLevel="1">
      <c r="A4913" s="2">
        <v>11</v>
      </c>
      <c r="B4913" s="2">
        <v>3</v>
      </c>
      <c r="C4913" s="2">
        <f>C4911+1</f>
        <v>6</v>
      </c>
      <c r="E4913" s="20" t="str">
        <f>CONCATENATE(A4913,".",B4913,".",C4913)</f>
        <v>11.3.6</v>
      </c>
      <c r="F4913" s="21" t="s">
        <v>5311</v>
      </c>
      <c r="G4913" s="22">
        <v>92980</v>
      </c>
      <c r="H4913" s="23" t="s">
        <v>3734</v>
      </c>
      <c r="I4913" s="24" t="s">
        <v>144</v>
      </c>
      <c r="J4913" s="32"/>
      <c r="K4913" s="10"/>
      <c r="L4913" s="32"/>
      <c r="M4913" s="10"/>
      <c r="N4913" s="33"/>
      <c r="O4913" s="11">
        <f>SUM(O4914:O4916)</f>
        <v>20</v>
      </c>
      <c r="P4913" s="185"/>
    </row>
    <row r="4914" spans="1:16" hidden="1" outlineLevel="1">
      <c r="E4914" s="59"/>
      <c r="F4914" s="60"/>
      <c r="G4914" s="34"/>
      <c r="H4914" s="30" t="s">
        <v>5296</v>
      </c>
      <c r="I4914" s="35"/>
      <c r="J4914" s="41"/>
      <c r="K4914" s="10"/>
      <c r="L4914" s="32"/>
      <c r="M4914" s="10"/>
      <c r="N4914" s="33">
        <v>6</v>
      </c>
      <c r="O4914" s="31">
        <f>ROUND(PRODUCT(J4914:N4914),2)</f>
        <v>6</v>
      </c>
      <c r="P4914" s="185"/>
    </row>
    <row r="4915" spans="1:16" hidden="1" outlineLevel="1">
      <c r="E4915" s="59"/>
      <c r="F4915" s="60"/>
      <c r="G4915" s="34"/>
      <c r="H4915" s="30" t="s">
        <v>5302</v>
      </c>
      <c r="I4915" s="35"/>
      <c r="J4915" s="41"/>
      <c r="K4915" s="10"/>
      <c r="L4915" s="32"/>
      <c r="M4915" s="10"/>
      <c r="N4915" s="33">
        <v>10</v>
      </c>
      <c r="O4915" s="31">
        <f>ROUND(PRODUCT(J4915:N4915),2)</f>
        <v>10</v>
      </c>
      <c r="P4915" s="185"/>
    </row>
    <row r="4916" spans="1:16" hidden="1" outlineLevel="1">
      <c r="E4916" s="59"/>
      <c r="F4916" s="60"/>
      <c r="G4916" s="34"/>
      <c r="H4916" s="30" t="s">
        <v>5303</v>
      </c>
      <c r="I4916" s="35"/>
      <c r="J4916" s="41"/>
      <c r="K4916" s="10"/>
      <c r="L4916" s="32"/>
      <c r="M4916" s="10"/>
      <c r="N4916" s="33">
        <v>4</v>
      </c>
      <c r="O4916" s="31">
        <f>ROUND(PRODUCT(J4916:N4916),2)</f>
        <v>4</v>
      </c>
      <c r="P4916" s="185"/>
    </row>
    <row r="4917" spans="1:16" ht="30" hidden="1" outlineLevel="1">
      <c r="A4917" s="2">
        <v>11</v>
      </c>
      <c r="B4917" s="2">
        <v>3</v>
      </c>
      <c r="C4917" s="2">
        <f>C4913+1</f>
        <v>7</v>
      </c>
      <c r="E4917" s="20" t="str">
        <f>CONCATENATE(A4917,".",B4917,".",C4917)</f>
        <v>11.3.7</v>
      </c>
      <c r="F4917" s="21" t="s">
        <v>5312</v>
      </c>
      <c r="G4917" s="22">
        <v>104751</v>
      </c>
      <c r="H4917" s="23" t="s">
        <v>5313</v>
      </c>
      <c r="I4917" s="24" t="s">
        <v>36</v>
      </c>
      <c r="J4917" s="32"/>
      <c r="K4917" s="10"/>
      <c r="L4917" s="32"/>
      <c r="M4917" s="10"/>
      <c r="N4917" s="33"/>
      <c r="O4917" s="11">
        <f>SUM(O4918:O4920)</f>
        <v>24</v>
      </c>
      <c r="P4917" s="185"/>
    </row>
    <row r="4918" spans="1:16" hidden="1" outlineLevel="1">
      <c r="E4918" s="59"/>
      <c r="F4918" s="60"/>
      <c r="G4918" s="34"/>
      <c r="H4918" s="30" t="s">
        <v>5296</v>
      </c>
      <c r="I4918" s="35"/>
      <c r="J4918" s="41"/>
      <c r="K4918" s="10"/>
      <c r="L4918" s="32"/>
      <c r="M4918" s="10"/>
      <c r="N4918" s="33">
        <v>6</v>
      </c>
      <c r="O4918" s="31">
        <f>ROUND(PRODUCT(J4918:N4918),2)</f>
        <v>6</v>
      </c>
      <c r="P4918" s="185"/>
    </row>
    <row r="4919" spans="1:16" hidden="1" outlineLevel="1">
      <c r="E4919" s="59"/>
      <c r="F4919" s="60"/>
      <c r="G4919" s="34"/>
      <c r="H4919" s="30" t="s">
        <v>5302</v>
      </c>
      <c r="I4919" s="35"/>
      <c r="J4919" s="41"/>
      <c r="K4919" s="10"/>
      <c r="L4919" s="32"/>
      <c r="M4919" s="10"/>
      <c r="N4919" s="33">
        <v>14</v>
      </c>
      <c r="O4919" s="31">
        <f>ROUND(PRODUCT(J4919:N4919),2)</f>
        <v>14</v>
      </c>
      <c r="P4919" s="185"/>
    </row>
    <row r="4920" spans="1:16" hidden="1" outlineLevel="1">
      <c r="E4920" s="59"/>
      <c r="F4920" s="60"/>
      <c r="G4920" s="34"/>
      <c r="H4920" s="30" t="s">
        <v>5303</v>
      </c>
      <c r="I4920" s="35"/>
      <c r="J4920" s="41"/>
      <c r="K4920" s="10"/>
      <c r="L4920" s="32"/>
      <c r="M4920" s="10"/>
      <c r="N4920" s="33">
        <v>4</v>
      </c>
      <c r="O4920" s="31">
        <f>ROUND(PRODUCT(J4920:N4920),2)</f>
        <v>4</v>
      </c>
      <c r="P4920" s="185"/>
    </row>
    <row r="4921" spans="1:16" ht="30" hidden="1" outlineLevel="1">
      <c r="A4921" s="2">
        <v>11</v>
      </c>
      <c r="B4921" s="2">
        <v>3</v>
      </c>
      <c r="C4921" s="2">
        <f>C4917+1</f>
        <v>8</v>
      </c>
      <c r="E4921" s="20" t="str">
        <f>CONCATENATE(A4921,".",B4921,".",C4921)</f>
        <v>11.3.8</v>
      </c>
      <c r="F4921" s="21" t="s">
        <v>5314</v>
      </c>
      <c r="G4921" s="22">
        <v>101546</v>
      </c>
      <c r="H4921" s="23" t="s">
        <v>5315</v>
      </c>
      <c r="I4921" s="24" t="s">
        <v>36</v>
      </c>
      <c r="J4921" s="32"/>
      <c r="K4921" s="10"/>
      <c r="L4921" s="32"/>
      <c r="M4921" s="10"/>
      <c r="N4921" s="33"/>
      <c r="O4921" s="11">
        <f>SUM(O4922:O4923)</f>
        <v>13</v>
      </c>
      <c r="P4921" s="185"/>
    </row>
    <row r="4922" spans="1:16" hidden="1" outlineLevel="1">
      <c r="E4922" s="59"/>
      <c r="F4922" s="60"/>
      <c r="G4922" s="34"/>
      <c r="H4922" s="30" t="s">
        <v>5296</v>
      </c>
      <c r="I4922" s="35"/>
      <c r="J4922" s="41"/>
      <c r="K4922" s="10"/>
      <c r="L4922" s="32"/>
      <c r="M4922" s="10"/>
      <c r="N4922" s="33">
        <v>9</v>
      </c>
      <c r="O4922" s="31">
        <f>ROUND(PRODUCT(J4922:N4922),2)</f>
        <v>9</v>
      </c>
      <c r="P4922" s="185"/>
    </row>
    <row r="4923" spans="1:16" hidden="1" outlineLevel="1">
      <c r="E4923" s="59"/>
      <c r="F4923" s="60"/>
      <c r="G4923" s="34"/>
      <c r="H4923" s="30" t="s">
        <v>5297</v>
      </c>
      <c r="I4923" s="35"/>
      <c r="J4923" s="41"/>
      <c r="K4923" s="10"/>
      <c r="L4923" s="32"/>
      <c r="M4923" s="10"/>
      <c r="N4923" s="33">
        <v>4</v>
      </c>
      <c r="O4923" s="31">
        <f>ROUND(PRODUCT(J4923:N4923),2)</f>
        <v>4</v>
      </c>
      <c r="P4923" s="185"/>
    </row>
    <row r="4924" spans="1:16" ht="45" hidden="1" outlineLevel="1">
      <c r="A4924" s="2">
        <v>11</v>
      </c>
      <c r="B4924" s="2">
        <v>3</v>
      </c>
      <c r="C4924" s="2">
        <f>C4921+1</f>
        <v>9</v>
      </c>
      <c r="E4924" s="20" t="str">
        <f>CONCATENATE(A4924,".",B4924,".",C4924)</f>
        <v>11.3.9</v>
      </c>
      <c r="F4924" s="21" t="s">
        <v>5316</v>
      </c>
      <c r="G4924" s="22">
        <v>102103</v>
      </c>
      <c r="H4924" s="23" t="s">
        <v>5317</v>
      </c>
      <c r="I4924" s="24" t="s">
        <v>36</v>
      </c>
      <c r="J4924" s="32"/>
      <c r="K4924" s="10"/>
      <c r="L4924" s="32"/>
      <c r="M4924" s="10"/>
      <c r="N4924" s="33"/>
      <c r="O4924" s="11">
        <f>SUM(O4925)</f>
        <v>1</v>
      </c>
      <c r="P4924" s="185"/>
    </row>
    <row r="4925" spans="1:16" hidden="1" outlineLevel="1">
      <c r="E4925" s="59"/>
      <c r="F4925" s="60"/>
      <c r="G4925" s="34"/>
      <c r="H4925" s="30" t="s">
        <v>5296</v>
      </c>
      <c r="I4925" s="35"/>
      <c r="J4925" s="41"/>
      <c r="K4925" s="10"/>
      <c r="L4925" s="32"/>
      <c r="M4925" s="10"/>
      <c r="N4925" s="33">
        <v>1</v>
      </c>
      <c r="O4925" s="31">
        <f>ROUND(PRODUCT(J4925:N4925),2)</f>
        <v>1</v>
      </c>
      <c r="P4925" s="185"/>
    </row>
    <row r="4926" spans="1:16" ht="45" hidden="1" outlineLevel="1">
      <c r="A4926" s="2">
        <v>11</v>
      </c>
      <c r="B4926" s="2">
        <v>3</v>
      </c>
      <c r="C4926" s="2">
        <f>C4924+1</f>
        <v>10</v>
      </c>
      <c r="E4926" s="20" t="str">
        <f>CONCATENATE(A4926,".",B4926,".",C4926)</f>
        <v>11.3.10</v>
      </c>
      <c r="F4926" s="21" t="s">
        <v>5318</v>
      </c>
      <c r="G4926" s="22">
        <v>102108</v>
      </c>
      <c r="H4926" s="23" t="s">
        <v>5319</v>
      </c>
      <c r="I4926" s="24" t="s">
        <v>36</v>
      </c>
      <c r="J4926" s="32"/>
      <c r="K4926" s="10"/>
      <c r="L4926" s="32"/>
      <c r="M4926" s="10"/>
      <c r="N4926" s="33"/>
      <c r="O4926" s="11">
        <f>SUM(O4927)</f>
        <v>1</v>
      </c>
      <c r="P4926" s="185"/>
    </row>
    <row r="4927" spans="1:16" hidden="1" outlineLevel="1">
      <c r="E4927" s="59"/>
      <c r="F4927" s="60"/>
      <c r="G4927" s="34"/>
      <c r="H4927" s="30" t="s">
        <v>5296</v>
      </c>
      <c r="I4927" s="35"/>
      <c r="J4927" s="41"/>
      <c r="K4927" s="10"/>
      <c r="L4927" s="32"/>
      <c r="M4927" s="10"/>
      <c r="N4927" s="33">
        <v>1</v>
      </c>
      <c r="O4927" s="31">
        <f>ROUND(PRODUCT(J4927:N4927),2)</f>
        <v>1</v>
      </c>
      <c r="P4927" s="185"/>
    </row>
    <row r="4928" spans="1:16" ht="45" hidden="1" outlineLevel="1">
      <c r="A4928" s="2">
        <v>11</v>
      </c>
      <c r="B4928" s="2">
        <v>3</v>
      </c>
      <c r="C4928" s="2">
        <f>C4926+1</f>
        <v>11</v>
      </c>
      <c r="E4928" s="20" t="str">
        <f>CONCATENATE(A4928,".",B4928,".",C4928)</f>
        <v>11.3.11</v>
      </c>
      <c r="F4928" s="21" t="s">
        <v>5320</v>
      </c>
      <c r="G4928" s="22">
        <v>102102</v>
      </c>
      <c r="H4928" s="23" t="s">
        <v>5321</v>
      </c>
      <c r="I4928" s="24" t="s">
        <v>36</v>
      </c>
      <c r="J4928" s="32"/>
      <c r="K4928" s="10"/>
      <c r="L4928" s="32"/>
      <c r="M4928" s="10"/>
      <c r="N4928" s="33"/>
      <c r="O4928" s="11">
        <f>SUM(O4929)</f>
        <v>1</v>
      </c>
      <c r="P4928" s="185"/>
    </row>
    <row r="4929" spans="1:16" hidden="1" outlineLevel="1">
      <c r="E4929" s="59"/>
      <c r="F4929" s="60"/>
      <c r="G4929" s="34"/>
      <c r="H4929" s="30" t="s">
        <v>5296</v>
      </c>
      <c r="I4929" s="35"/>
      <c r="J4929" s="41"/>
      <c r="K4929" s="10"/>
      <c r="L4929" s="32"/>
      <c r="M4929" s="10"/>
      <c r="N4929" s="33">
        <v>1</v>
      </c>
      <c r="O4929" s="31">
        <f>ROUND(PRODUCT(J4929:N4929),2)</f>
        <v>1</v>
      </c>
      <c r="P4929" s="185"/>
    </row>
    <row r="4930" spans="1:16" ht="30" hidden="1" outlineLevel="1">
      <c r="A4930" s="2">
        <v>11</v>
      </c>
      <c r="B4930" s="2">
        <v>3</v>
      </c>
      <c r="C4930" s="2">
        <f>C4928+1</f>
        <v>12</v>
      </c>
      <c r="E4930" s="20" t="str">
        <f>CONCATENATE(A4930,".",B4930,".",C4930)</f>
        <v>11.3.12</v>
      </c>
      <c r="F4930" s="21" t="s">
        <v>5322</v>
      </c>
      <c r="G4930" s="22">
        <v>100862</v>
      </c>
      <c r="H4930" s="23" t="s">
        <v>5323</v>
      </c>
      <c r="I4930" s="24" t="s">
        <v>36</v>
      </c>
      <c r="J4930" s="32"/>
      <c r="K4930" s="10"/>
      <c r="L4930" s="32"/>
      <c r="M4930" s="10"/>
      <c r="N4930" s="33"/>
      <c r="O4930" s="11">
        <f>SUM(O4931:O4932)</f>
        <v>10</v>
      </c>
      <c r="P4930" s="185"/>
    </row>
    <row r="4931" spans="1:16" hidden="1" outlineLevel="1">
      <c r="E4931" s="59"/>
      <c r="F4931" s="60"/>
      <c r="G4931" s="34"/>
      <c r="H4931" s="30" t="s">
        <v>5296</v>
      </c>
      <c r="I4931" s="35"/>
      <c r="J4931" s="41"/>
      <c r="K4931" s="10"/>
      <c r="L4931" s="32"/>
      <c r="M4931" s="10"/>
      <c r="N4931" s="33">
        <v>3</v>
      </c>
      <c r="O4931" s="31">
        <f>ROUND(PRODUCT(J4931:N4931),2)</f>
        <v>3</v>
      </c>
      <c r="P4931" s="185"/>
    </row>
    <row r="4932" spans="1:16" hidden="1" outlineLevel="1">
      <c r="E4932" s="59"/>
      <c r="F4932" s="60"/>
      <c r="G4932" s="34"/>
      <c r="H4932" s="30" t="s">
        <v>5302</v>
      </c>
      <c r="I4932" s="35"/>
      <c r="J4932" s="41"/>
      <c r="K4932" s="10"/>
      <c r="L4932" s="32"/>
      <c r="M4932" s="10"/>
      <c r="N4932" s="33">
        <v>7</v>
      </c>
      <c r="O4932" s="31">
        <f>ROUND(PRODUCT(J4932:N4932),2)</f>
        <v>7</v>
      </c>
      <c r="P4932" s="185"/>
    </row>
    <row r="4933" spans="1:16" ht="30" hidden="1" outlineLevel="1">
      <c r="A4933" s="2">
        <v>11</v>
      </c>
      <c r="B4933" s="2">
        <v>3</v>
      </c>
      <c r="C4933" s="2">
        <f>C4930+1</f>
        <v>13</v>
      </c>
      <c r="E4933" s="20" t="str">
        <f>CONCATENATE(A4933,".",B4933,".",C4933)</f>
        <v>11.3.13</v>
      </c>
      <c r="F4933" s="21" t="s">
        <v>5324</v>
      </c>
      <c r="G4933" s="22" t="s">
        <v>5325</v>
      </c>
      <c r="H4933" s="23" t="s">
        <v>5326</v>
      </c>
      <c r="I4933" s="24" t="s">
        <v>36</v>
      </c>
      <c r="J4933" s="32"/>
      <c r="K4933" s="10"/>
      <c r="L4933" s="32"/>
      <c r="M4933" s="10"/>
      <c r="N4933" s="33"/>
      <c r="O4933" s="11">
        <f>SUM(O4934:O4935)</f>
        <v>24</v>
      </c>
      <c r="P4933" s="185"/>
    </row>
    <row r="4934" spans="1:16" hidden="1" outlineLevel="1">
      <c r="E4934" s="59"/>
      <c r="F4934" s="60"/>
      <c r="G4934" s="34"/>
      <c r="H4934" s="30" t="s">
        <v>5302</v>
      </c>
      <c r="I4934" s="35"/>
      <c r="J4934" s="41"/>
      <c r="K4934" s="10"/>
      <c r="L4934" s="32"/>
      <c r="M4934" s="10"/>
      <c r="N4934" s="33">
        <v>21</v>
      </c>
      <c r="O4934" s="31">
        <f>ROUND(PRODUCT(J4934:N4934),2)</f>
        <v>21</v>
      </c>
      <c r="P4934" s="185"/>
    </row>
    <row r="4935" spans="1:16" hidden="1" outlineLevel="1">
      <c r="E4935" s="59"/>
      <c r="F4935" s="60"/>
      <c r="G4935" s="34"/>
      <c r="H4935" s="30" t="s">
        <v>5297</v>
      </c>
      <c r="I4935" s="35"/>
      <c r="J4935" s="41"/>
      <c r="K4935" s="10"/>
      <c r="L4935" s="32"/>
      <c r="M4935" s="10"/>
      <c r="N4935" s="33">
        <v>3</v>
      </c>
      <c r="O4935" s="31">
        <f>ROUND(PRODUCT(J4935:N4935),2)</f>
        <v>3</v>
      </c>
      <c r="P4935" s="185"/>
    </row>
    <row r="4936" spans="1:16" ht="45" hidden="1" outlineLevel="1">
      <c r="A4936" s="2">
        <v>11</v>
      </c>
      <c r="B4936" s="2">
        <v>3</v>
      </c>
      <c r="C4936" s="2">
        <f>C4933+1</f>
        <v>14</v>
      </c>
      <c r="E4936" s="20" t="str">
        <f>CONCATENATE(A4936,".",B4936,".",C4936)</f>
        <v>11.3.14</v>
      </c>
      <c r="F4936" s="21" t="s">
        <v>5327</v>
      </c>
      <c r="G4936" s="22">
        <v>102104</v>
      </c>
      <c r="H4936" s="23" t="s">
        <v>5328</v>
      </c>
      <c r="I4936" s="24" t="s">
        <v>36</v>
      </c>
      <c r="J4936" s="32"/>
      <c r="K4936" s="10"/>
      <c r="L4936" s="32"/>
      <c r="M4936" s="10"/>
      <c r="N4936" s="33"/>
      <c r="O4936" s="11">
        <f>SUM(O4937:O4938)</f>
        <v>4</v>
      </c>
      <c r="P4936" s="185"/>
    </row>
    <row r="4937" spans="1:16" hidden="1" outlineLevel="1">
      <c r="E4937" s="59"/>
      <c r="F4937" s="60"/>
      <c r="G4937" s="34"/>
      <c r="H4937" s="30" t="s">
        <v>5302</v>
      </c>
      <c r="I4937" s="35"/>
      <c r="J4937" s="41"/>
      <c r="K4937" s="10"/>
      <c r="L4937" s="32"/>
      <c r="M4937" s="10"/>
      <c r="N4937" s="33">
        <v>1</v>
      </c>
      <c r="O4937" s="31">
        <f>ROUND(PRODUCT(J4937:N4937),2)</f>
        <v>1</v>
      </c>
      <c r="P4937" s="185"/>
    </row>
    <row r="4938" spans="1:16" hidden="1" outlineLevel="1">
      <c r="E4938" s="59"/>
      <c r="F4938" s="60"/>
      <c r="G4938" s="34"/>
      <c r="H4938" s="30" t="s">
        <v>5296</v>
      </c>
      <c r="I4938" s="35"/>
      <c r="J4938" s="41"/>
      <c r="K4938" s="10"/>
      <c r="L4938" s="32"/>
      <c r="M4938" s="10"/>
      <c r="N4938" s="33">
        <v>3</v>
      </c>
      <c r="O4938" s="31">
        <f>ROUND(PRODUCT(J4938:N4938),2)</f>
        <v>3</v>
      </c>
      <c r="P4938" s="185"/>
    </row>
    <row r="4939" spans="1:16" ht="45" hidden="1" outlineLevel="1">
      <c r="A4939" s="2">
        <v>11</v>
      </c>
      <c r="B4939" s="2">
        <v>3</v>
      </c>
      <c r="C4939" s="2">
        <f>C4936+1</f>
        <v>15</v>
      </c>
      <c r="E4939" s="20" t="str">
        <f>CONCATENATE(A4939,".",B4939,".",C4939)</f>
        <v>11.3.15</v>
      </c>
      <c r="F4939" s="21" t="s">
        <v>5329</v>
      </c>
      <c r="G4939" s="22">
        <v>102107</v>
      </c>
      <c r="H4939" s="23" t="s">
        <v>5330</v>
      </c>
      <c r="I4939" s="24" t="s">
        <v>36</v>
      </c>
      <c r="J4939" s="32"/>
      <c r="K4939" s="10"/>
      <c r="L4939" s="32"/>
      <c r="M4939" s="10"/>
      <c r="N4939" s="33"/>
      <c r="O4939" s="11">
        <f>SUM(O4940)</f>
        <v>1</v>
      </c>
      <c r="P4939" s="185"/>
    </row>
    <row r="4940" spans="1:16" hidden="1" outlineLevel="1">
      <c r="E4940" s="59"/>
      <c r="F4940" s="60"/>
      <c r="G4940" s="34"/>
      <c r="H4940" s="30" t="s">
        <v>5302</v>
      </c>
      <c r="I4940" s="35"/>
      <c r="J4940" s="41"/>
      <c r="K4940" s="10"/>
      <c r="L4940" s="32"/>
      <c r="M4940" s="10"/>
      <c r="N4940" s="33">
        <v>1</v>
      </c>
      <c r="O4940" s="31">
        <f>ROUND(PRODUCT(J4940:N4940),2)</f>
        <v>1</v>
      </c>
      <c r="P4940" s="185"/>
    </row>
    <row r="4941" spans="1:16" ht="45" hidden="1" outlineLevel="1">
      <c r="A4941" s="2">
        <v>11</v>
      </c>
      <c r="B4941" s="2">
        <v>3</v>
      </c>
      <c r="C4941" s="2">
        <f>C4939+1</f>
        <v>16</v>
      </c>
      <c r="E4941" s="20" t="str">
        <f>CONCATENATE(A4941,".",B4941,".",C4941)</f>
        <v>11.3.16</v>
      </c>
      <c r="F4941" s="21" t="s">
        <v>5331</v>
      </c>
      <c r="G4941" s="22">
        <v>102108</v>
      </c>
      <c r="H4941" s="23" t="s">
        <v>5319</v>
      </c>
      <c r="I4941" s="24" t="s">
        <v>36</v>
      </c>
      <c r="J4941" s="32"/>
      <c r="K4941" s="10"/>
      <c r="L4941" s="32"/>
      <c r="M4941" s="10"/>
      <c r="N4941" s="33"/>
      <c r="O4941" s="11">
        <f>SUM(O4942:O4943)</f>
        <v>3</v>
      </c>
      <c r="P4941" s="185"/>
    </row>
    <row r="4942" spans="1:16" hidden="1" outlineLevel="1">
      <c r="E4942" s="59"/>
      <c r="F4942" s="60"/>
      <c r="G4942" s="34"/>
      <c r="H4942" s="30" t="s">
        <v>5302</v>
      </c>
      <c r="I4942" s="35"/>
      <c r="J4942" s="41"/>
      <c r="K4942" s="10"/>
      <c r="L4942" s="32"/>
      <c r="M4942" s="10"/>
      <c r="N4942" s="33">
        <v>2</v>
      </c>
      <c r="O4942" s="31">
        <f>ROUND(PRODUCT(J4942:N4942),2)</f>
        <v>2</v>
      </c>
      <c r="P4942" s="185"/>
    </row>
    <row r="4943" spans="1:16" hidden="1" outlineLevel="1">
      <c r="E4943" s="59"/>
      <c r="F4943" s="60"/>
      <c r="G4943" s="34"/>
      <c r="H4943" s="30" t="s">
        <v>5296</v>
      </c>
      <c r="I4943" s="35"/>
      <c r="J4943" s="41"/>
      <c r="K4943" s="10"/>
      <c r="L4943" s="32"/>
      <c r="M4943" s="10"/>
      <c r="N4943" s="33">
        <v>1</v>
      </c>
      <c r="O4943" s="31">
        <f>ROUND(PRODUCT(J4943:N4943),2)</f>
        <v>1</v>
      </c>
      <c r="P4943" s="185"/>
    </row>
    <row r="4944" spans="1:16" ht="30" hidden="1" outlineLevel="1">
      <c r="A4944" s="2">
        <v>11</v>
      </c>
      <c r="B4944" s="2">
        <v>3</v>
      </c>
      <c r="C4944" s="2">
        <f>C4941+1</f>
        <v>17</v>
      </c>
      <c r="E4944" s="20" t="str">
        <f>CONCATENATE(A4944,".",B4944,".",C4944)</f>
        <v>11.3.17</v>
      </c>
      <c r="F4944" s="21" t="s">
        <v>5332</v>
      </c>
      <c r="G4944" s="22">
        <v>100862</v>
      </c>
      <c r="H4944" s="23" t="s">
        <v>5323</v>
      </c>
      <c r="I4944" s="24" t="s">
        <v>36</v>
      </c>
      <c r="J4944" s="32"/>
      <c r="K4944" s="10"/>
      <c r="L4944" s="32"/>
      <c r="M4944" s="10"/>
      <c r="N4944" s="33"/>
      <c r="O4944" s="11">
        <f>SUM(O4945:O4946)</f>
        <v>10</v>
      </c>
      <c r="P4944" s="185"/>
    </row>
    <row r="4945" spans="1:16" hidden="1" outlineLevel="1">
      <c r="E4945" s="59"/>
      <c r="F4945" s="60"/>
      <c r="G4945" s="34"/>
      <c r="H4945" s="30" t="s">
        <v>5302</v>
      </c>
      <c r="I4945" s="35"/>
      <c r="J4945" s="41"/>
      <c r="K4945" s="10"/>
      <c r="L4945" s="32"/>
      <c r="M4945" s="10"/>
      <c r="N4945" s="33">
        <v>7</v>
      </c>
      <c r="O4945" s="31">
        <f>ROUND(PRODUCT(J4945:N4945),2)</f>
        <v>7</v>
      </c>
      <c r="P4945" s="185"/>
    </row>
    <row r="4946" spans="1:16" hidden="1" outlineLevel="1">
      <c r="E4946" s="59"/>
      <c r="F4946" s="60"/>
      <c r="G4946" s="34"/>
      <c r="H4946" s="30" t="s">
        <v>5297</v>
      </c>
      <c r="I4946" s="35"/>
      <c r="J4946" s="41"/>
      <c r="K4946" s="10"/>
      <c r="L4946" s="32"/>
      <c r="M4946" s="10"/>
      <c r="N4946" s="33">
        <v>3</v>
      </c>
      <c r="O4946" s="31">
        <f>ROUND(PRODUCT(J4946:N4946),2)</f>
        <v>3</v>
      </c>
      <c r="P4946" s="185"/>
    </row>
    <row r="4947" spans="1:16" ht="30" hidden="1" outlineLevel="1">
      <c r="A4947" s="2">
        <v>11</v>
      </c>
      <c r="B4947" s="2">
        <v>3</v>
      </c>
      <c r="C4947" s="2">
        <f>C4944+1</f>
        <v>18</v>
      </c>
      <c r="E4947" s="20" t="str">
        <f>CONCATENATE(A4947,".",B4947,".",C4947)</f>
        <v>11.3.18</v>
      </c>
      <c r="F4947" s="21" t="s">
        <v>5333</v>
      </c>
      <c r="G4947" s="22">
        <v>101546</v>
      </c>
      <c r="H4947" s="23" t="s">
        <v>5315</v>
      </c>
      <c r="I4947" s="24" t="s">
        <v>36</v>
      </c>
      <c r="J4947" s="32"/>
      <c r="K4947" s="10"/>
      <c r="L4947" s="32"/>
      <c r="M4947" s="10"/>
      <c r="N4947" s="33"/>
      <c r="O4947" s="11">
        <f>SUM(O4948:O4949)</f>
        <v>24</v>
      </c>
      <c r="P4947" s="185"/>
    </row>
    <row r="4948" spans="1:16" hidden="1" outlineLevel="1">
      <c r="E4948" s="59"/>
      <c r="F4948" s="60"/>
      <c r="G4948" s="34"/>
      <c r="H4948" s="30" t="s">
        <v>5297</v>
      </c>
      <c r="I4948" s="35"/>
      <c r="J4948" s="41"/>
      <c r="K4948" s="10"/>
      <c r="L4948" s="32"/>
      <c r="M4948" s="10"/>
      <c r="N4948" s="33">
        <v>3</v>
      </c>
      <c r="O4948" s="31">
        <f>ROUND(PRODUCT(J4948:N4948),2)</f>
        <v>3</v>
      </c>
      <c r="P4948" s="185"/>
    </row>
    <row r="4949" spans="1:16" hidden="1" outlineLevel="1">
      <c r="E4949" s="59"/>
      <c r="F4949" s="60"/>
      <c r="G4949" s="34"/>
      <c r="H4949" s="30" t="s">
        <v>5302</v>
      </c>
      <c r="I4949" s="35"/>
      <c r="J4949" s="41"/>
      <c r="K4949" s="10"/>
      <c r="L4949" s="32"/>
      <c r="M4949" s="10"/>
      <c r="N4949" s="33">
        <v>21</v>
      </c>
      <c r="O4949" s="31">
        <f>ROUND(PRODUCT(J4949:N4949),2)</f>
        <v>21</v>
      </c>
      <c r="P4949" s="185"/>
    </row>
    <row r="4950" spans="1:16" ht="30" hidden="1" outlineLevel="1">
      <c r="A4950" s="2">
        <v>11</v>
      </c>
      <c r="B4950" s="2">
        <v>3</v>
      </c>
      <c r="C4950" s="2">
        <f>C4947+1</f>
        <v>19</v>
      </c>
      <c r="E4950" s="20" t="str">
        <f>CONCATENATE(A4950,".",B4950,".",C4950)</f>
        <v>11.3.19</v>
      </c>
      <c r="F4950" s="21" t="s">
        <v>5334</v>
      </c>
      <c r="G4950" s="22">
        <v>96986</v>
      </c>
      <c r="H4950" s="23" t="s">
        <v>2668</v>
      </c>
      <c r="I4950" s="24" t="s">
        <v>36</v>
      </c>
      <c r="J4950" s="32"/>
      <c r="K4950" s="10"/>
      <c r="L4950" s="32"/>
      <c r="M4950" s="10"/>
      <c r="N4950" s="33"/>
      <c r="O4950" s="11">
        <f>SUM(O4951)</f>
        <v>3</v>
      </c>
      <c r="P4950" s="185"/>
    </row>
    <row r="4951" spans="1:16" hidden="1" outlineLevel="1">
      <c r="E4951" s="59"/>
      <c r="F4951" s="60"/>
      <c r="G4951" s="34"/>
      <c r="H4951" s="30"/>
      <c r="I4951" s="35"/>
      <c r="J4951" s="41"/>
      <c r="K4951" s="10"/>
      <c r="L4951" s="32"/>
      <c r="M4951" s="10"/>
      <c r="N4951" s="33">
        <v>3</v>
      </c>
      <c r="O4951" s="31">
        <f>ROUND(PRODUCT(J4951:N4951),2)</f>
        <v>3</v>
      </c>
      <c r="P4951" s="185"/>
    </row>
    <row r="4952" spans="1:16" hidden="1" outlineLevel="1">
      <c r="A4952" s="2">
        <v>11</v>
      </c>
      <c r="B4952" s="2">
        <v>3</v>
      </c>
      <c r="C4952" s="2">
        <f>C4950+1</f>
        <v>20</v>
      </c>
      <c r="E4952" s="20" t="str">
        <f>CONCATENATE(A4952,".",B4952,".",C4952)</f>
        <v>11.3.20</v>
      </c>
      <c r="F4952" s="21" t="s">
        <v>5335</v>
      </c>
      <c r="G4952" s="22" t="s">
        <v>5336</v>
      </c>
      <c r="H4952" s="23" t="s">
        <v>5337</v>
      </c>
      <c r="I4952" s="24" t="s">
        <v>36</v>
      </c>
      <c r="J4952" s="32"/>
      <c r="K4952" s="10"/>
      <c r="L4952" s="32"/>
      <c r="M4952" s="10"/>
      <c r="N4952" s="33"/>
      <c r="O4952" s="11">
        <f>SUM(O4953)</f>
        <v>3</v>
      </c>
      <c r="P4952" s="185"/>
    </row>
    <row r="4953" spans="1:16" hidden="1" outlineLevel="1">
      <c r="E4953" s="59"/>
      <c r="F4953" s="60"/>
      <c r="G4953" s="34"/>
      <c r="H4953" s="30"/>
      <c r="I4953" s="35"/>
      <c r="J4953" s="41"/>
      <c r="K4953" s="10"/>
      <c r="L4953" s="32"/>
      <c r="M4953" s="10"/>
      <c r="N4953" s="33">
        <v>3</v>
      </c>
      <c r="O4953" s="31">
        <f>ROUND(PRODUCT(J4953:N4953),2)</f>
        <v>3</v>
      </c>
      <c r="P4953" s="185"/>
    </row>
    <row r="4954" spans="1:16" hidden="1" outlineLevel="1">
      <c r="A4954" s="2">
        <v>11</v>
      </c>
      <c r="B4954" s="2">
        <v>3</v>
      </c>
      <c r="C4954" s="2">
        <f>C4952+1</f>
        <v>21</v>
      </c>
      <c r="E4954" s="20" t="str">
        <f>CONCATENATE(A4954,".",B4954,".",C4954)</f>
        <v>11.3.21</v>
      </c>
      <c r="F4954" s="21" t="s">
        <v>5338</v>
      </c>
      <c r="G4954" s="22" t="s">
        <v>5339</v>
      </c>
      <c r="H4954" s="23" t="s">
        <v>5340</v>
      </c>
      <c r="I4954" s="24" t="s">
        <v>36</v>
      </c>
      <c r="J4954" s="32"/>
      <c r="K4954" s="10"/>
      <c r="L4954" s="32"/>
      <c r="M4954" s="10"/>
      <c r="N4954" s="33"/>
      <c r="O4954" s="11">
        <f>SUM(O4955:O4962)</f>
        <v>121</v>
      </c>
      <c r="P4954" s="185"/>
    </row>
    <row r="4955" spans="1:16" hidden="1" outlineLevel="1">
      <c r="E4955" s="59"/>
      <c r="F4955" s="60"/>
      <c r="G4955" s="34"/>
      <c r="H4955" s="30" t="s">
        <v>5294</v>
      </c>
      <c r="I4955" s="35"/>
      <c r="J4955" s="41"/>
      <c r="K4955" s="10"/>
      <c r="L4955" s="32"/>
      <c r="M4955" s="10"/>
      <c r="N4955" s="33">
        <v>6</v>
      </c>
      <c r="O4955" s="31">
        <f t="shared" ref="O4955:O4962" si="109">ROUND(PRODUCT(J4955:N4955),2)</f>
        <v>6</v>
      </c>
      <c r="P4955" s="185"/>
    </row>
    <row r="4956" spans="1:16" hidden="1" outlineLevel="1">
      <c r="E4956" s="59"/>
      <c r="F4956" s="60"/>
      <c r="G4956" s="34"/>
      <c r="H4956" s="30" t="s">
        <v>5300</v>
      </c>
      <c r="I4956" s="35"/>
      <c r="J4956" s="41"/>
      <c r="K4956" s="10"/>
      <c r="L4956" s="32"/>
      <c r="M4956" s="10"/>
      <c r="N4956" s="33">
        <v>18</v>
      </c>
      <c r="O4956" s="31">
        <f t="shared" si="109"/>
        <v>18</v>
      </c>
      <c r="P4956" s="185"/>
    </row>
    <row r="4957" spans="1:16" hidden="1" outlineLevel="1">
      <c r="E4957" s="59"/>
      <c r="F4957" s="60"/>
      <c r="G4957" s="34"/>
      <c r="H4957" s="30" t="s">
        <v>5301</v>
      </c>
      <c r="I4957" s="35"/>
      <c r="J4957" s="41"/>
      <c r="K4957" s="10"/>
      <c r="L4957" s="32"/>
      <c r="M4957" s="10"/>
      <c r="N4957" s="33">
        <v>9</v>
      </c>
      <c r="O4957" s="31">
        <f t="shared" si="109"/>
        <v>9</v>
      </c>
      <c r="P4957" s="185"/>
    </row>
    <row r="4958" spans="1:16" hidden="1" outlineLevel="1">
      <c r="E4958" s="59"/>
      <c r="F4958" s="60"/>
      <c r="G4958" s="34"/>
      <c r="H4958" s="30" t="s">
        <v>5296</v>
      </c>
      <c r="I4958" s="35"/>
      <c r="J4958" s="41"/>
      <c r="K4958" s="10"/>
      <c r="L4958" s="32"/>
      <c r="M4958" s="10"/>
      <c r="N4958" s="33">
        <v>24</v>
      </c>
      <c r="O4958" s="31">
        <f t="shared" si="109"/>
        <v>24</v>
      </c>
      <c r="P4958" s="185"/>
    </row>
    <row r="4959" spans="1:16" hidden="1" outlineLevel="1">
      <c r="E4959" s="59"/>
      <c r="F4959" s="60"/>
      <c r="G4959" s="34"/>
      <c r="H4959" s="30" t="s">
        <v>5302</v>
      </c>
      <c r="I4959" s="35"/>
      <c r="J4959" s="41"/>
      <c r="K4959" s="10"/>
      <c r="L4959" s="32"/>
      <c r="M4959" s="10"/>
      <c r="N4959" s="33">
        <v>42</v>
      </c>
      <c r="O4959" s="31">
        <f t="shared" si="109"/>
        <v>42</v>
      </c>
      <c r="P4959" s="185"/>
    </row>
    <row r="4960" spans="1:16" hidden="1" outlineLevel="1">
      <c r="E4960" s="59"/>
      <c r="F4960" s="60"/>
      <c r="G4960" s="34"/>
      <c r="H4960" s="30" t="s">
        <v>5303</v>
      </c>
      <c r="I4960" s="35"/>
      <c r="J4960" s="41"/>
      <c r="K4960" s="10"/>
      <c r="L4960" s="32"/>
      <c r="M4960" s="10"/>
      <c r="N4960" s="33">
        <v>6</v>
      </c>
      <c r="O4960" s="31">
        <f t="shared" si="109"/>
        <v>6</v>
      </c>
      <c r="P4960" s="185"/>
    </row>
    <row r="4961" spans="1:16" hidden="1" outlineLevel="1">
      <c r="E4961" s="59"/>
      <c r="F4961" s="60"/>
      <c r="G4961" s="34"/>
      <c r="H4961" s="30" t="s">
        <v>5297</v>
      </c>
      <c r="I4961" s="35"/>
      <c r="J4961" s="41"/>
      <c r="K4961" s="10"/>
      <c r="L4961" s="32"/>
      <c r="M4961" s="10"/>
      <c r="N4961" s="33">
        <v>13</v>
      </c>
      <c r="O4961" s="31">
        <f t="shared" si="109"/>
        <v>13</v>
      </c>
      <c r="P4961" s="185"/>
    </row>
    <row r="4962" spans="1:16" hidden="1" outlineLevel="1">
      <c r="E4962" s="59"/>
      <c r="F4962" s="60"/>
      <c r="G4962" s="34"/>
      <c r="H4962" s="30" t="s">
        <v>5295</v>
      </c>
      <c r="I4962" s="35"/>
      <c r="J4962" s="41"/>
      <c r="K4962" s="10"/>
      <c r="L4962" s="32"/>
      <c r="M4962" s="10"/>
      <c r="N4962" s="33">
        <v>3</v>
      </c>
      <c r="O4962" s="31">
        <f t="shared" si="109"/>
        <v>3</v>
      </c>
      <c r="P4962" s="185"/>
    </row>
    <row r="4963" spans="1:16" hidden="1" outlineLevel="1">
      <c r="A4963" s="2">
        <v>11</v>
      </c>
      <c r="B4963" s="2">
        <v>3</v>
      </c>
      <c r="C4963" s="2">
        <f>C4954+1</f>
        <v>22</v>
      </c>
      <c r="E4963" s="20" t="str">
        <f>CONCATENATE(A4963,".",B4963,".",C4963)</f>
        <v>11.3.22</v>
      </c>
      <c r="F4963" s="21" t="s">
        <v>5341</v>
      </c>
      <c r="G4963" s="22" t="s">
        <v>5342</v>
      </c>
      <c r="H4963" s="23" t="s">
        <v>5343</v>
      </c>
      <c r="I4963" s="24" t="s">
        <v>36</v>
      </c>
      <c r="J4963" s="32"/>
      <c r="K4963" s="10"/>
      <c r="L4963" s="32"/>
      <c r="M4963" s="10"/>
      <c r="N4963" s="33"/>
      <c r="O4963" s="11">
        <f>SUM(O4964:O4967)</f>
        <v>39</v>
      </c>
      <c r="P4963" s="185"/>
    </row>
    <row r="4964" spans="1:16" hidden="1" outlineLevel="1">
      <c r="E4964" s="59"/>
      <c r="F4964" s="60"/>
      <c r="G4964" s="34"/>
      <c r="H4964" s="30" t="s">
        <v>5301</v>
      </c>
      <c r="I4964" s="35"/>
      <c r="J4964" s="41"/>
      <c r="K4964" s="10"/>
      <c r="L4964" s="32"/>
      <c r="M4964" s="10"/>
      <c r="N4964" s="33">
        <v>9</v>
      </c>
      <c r="O4964" s="31">
        <f>ROUND(PRODUCT(J4964:N4964),2)</f>
        <v>9</v>
      </c>
      <c r="P4964" s="185"/>
    </row>
    <row r="4965" spans="1:16" hidden="1" outlineLevel="1">
      <c r="E4965" s="59"/>
      <c r="F4965" s="60"/>
      <c r="G4965" s="34"/>
      <c r="H4965" s="30" t="s">
        <v>5302</v>
      </c>
      <c r="I4965" s="35"/>
      <c r="J4965" s="41"/>
      <c r="K4965" s="10"/>
      <c r="L4965" s="32"/>
      <c r="M4965" s="10"/>
      <c r="N4965" s="33">
        <v>21</v>
      </c>
      <c r="O4965" s="31">
        <f>ROUND(PRODUCT(J4965:N4965),2)</f>
        <v>21</v>
      </c>
      <c r="P4965" s="185"/>
    </row>
    <row r="4966" spans="1:16" hidden="1" outlineLevel="1">
      <c r="E4966" s="59"/>
      <c r="F4966" s="60"/>
      <c r="G4966" s="34"/>
      <c r="H4966" s="30" t="s">
        <v>5303</v>
      </c>
      <c r="I4966" s="35"/>
      <c r="J4966" s="41"/>
      <c r="K4966" s="10"/>
      <c r="L4966" s="32"/>
      <c r="M4966" s="10"/>
      <c r="N4966" s="33">
        <v>6</v>
      </c>
      <c r="O4966" s="31">
        <f>ROUND(PRODUCT(J4966:N4966),2)</f>
        <v>6</v>
      </c>
      <c r="P4966" s="185"/>
    </row>
    <row r="4967" spans="1:16" hidden="1" outlineLevel="1">
      <c r="E4967" s="59"/>
      <c r="F4967" s="60"/>
      <c r="G4967" s="34"/>
      <c r="H4967" s="30" t="s">
        <v>5297</v>
      </c>
      <c r="I4967" s="35"/>
      <c r="J4967" s="41"/>
      <c r="K4967" s="10"/>
      <c r="L4967" s="32"/>
      <c r="M4967" s="10"/>
      <c r="N4967" s="33">
        <v>3</v>
      </c>
      <c r="O4967" s="31">
        <f>ROUND(PRODUCT(J4967:N4967),2)</f>
        <v>3</v>
      </c>
      <c r="P4967" s="185"/>
    </row>
    <row r="4968" spans="1:16" hidden="1" outlineLevel="1">
      <c r="A4968" s="2">
        <v>11</v>
      </c>
      <c r="B4968" s="2">
        <v>3</v>
      </c>
      <c r="C4968" s="2">
        <f>C4963+1</f>
        <v>23</v>
      </c>
      <c r="E4968" s="20" t="str">
        <f>CONCATENATE(A4968,".",B4968,".",C4968)</f>
        <v>11.3.23</v>
      </c>
      <c r="F4968" s="21" t="s">
        <v>5344</v>
      </c>
      <c r="G4968" s="22" t="s">
        <v>5345</v>
      </c>
      <c r="H4968" s="23" t="s">
        <v>5346</v>
      </c>
      <c r="I4968" s="24" t="s">
        <v>36</v>
      </c>
      <c r="J4968" s="32"/>
      <c r="K4968" s="10"/>
      <c r="L4968" s="32"/>
      <c r="M4968" s="10"/>
      <c r="N4968" s="33"/>
      <c r="O4968" s="11">
        <f>SUM(O4969:O4970)</f>
        <v>5</v>
      </c>
      <c r="P4968" s="185"/>
    </row>
    <row r="4969" spans="1:16" hidden="1" outlineLevel="1">
      <c r="E4969" s="59"/>
      <c r="F4969" s="60"/>
      <c r="G4969" s="34"/>
      <c r="H4969" s="30" t="s">
        <v>5301</v>
      </c>
      <c r="I4969" s="35"/>
      <c r="J4969" s="41"/>
      <c r="K4969" s="10"/>
      <c r="L4969" s="32"/>
      <c r="M4969" s="10"/>
      <c r="N4969" s="33">
        <v>3</v>
      </c>
      <c r="O4969" s="31">
        <f>ROUND(PRODUCT(J4969:N4969),2)</f>
        <v>3</v>
      </c>
      <c r="P4969" s="185"/>
    </row>
    <row r="4970" spans="1:16" hidden="1" outlineLevel="1">
      <c r="E4970" s="59"/>
      <c r="F4970" s="60"/>
      <c r="G4970" s="34"/>
      <c r="H4970" s="30" t="s">
        <v>5303</v>
      </c>
      <c r="I4970" s="35"/>
      <c r="J4970" s="41"/>
      <c r="K4970" s="10"/>
      <c r="L4970" s="32"/>
      <c r="M4970" s="10"/>
      <c r="N4970" s="33">
        <v>2</v>
      </c>
      <c r="O4970" s="31">
        <f>ROUND(PRODUCT(J4970:N4970),2)</f>
        <v>2</v>
      </c>
      <c r="P4970" s="185"/>
    </row>
    <row r="4971" spans="1:16" hidden="1" outlineLevel="1">
      <c r="A4971" s="2">
        <v>11</v>
      </c>
      <c r="B4971" s="2">
        <v>3</v>
      </c>
      <c r="C4971" s="2">
        <f>C4968+1</f>
        <v>24</v>
      </c>
      <c r="E4971" s="20" t="str">
        <f>CONCATENATE(A4971,".",B4971,".",C4971)</f>
        <v>11.3.24</v>
      </c>
      <c r="F4971" s="21" t="s">
        <v>5347</v>
      </c>
      <c r="G4971" s="22" t="s">
        <v>5348</v>
      </c>
      <c r="H4971" s="23" t="s">
        <v>5349</v>
      </c>
      <c r="I4971" s="24" t="s">
        <v>36</v>
      </c>
      <c r="J4971" s="32"/>
      <c r="K4971" s="10"/>
      <c r="L4971" s="32"/>
      <c r="M4971" s="10"/>
      <c r="N4971" s="33"/>
      <c r="O4971" s="11">
        <f>SUM(O4972:O4975)</f>
        <v>39</v>
      </c>
      <c r="P4971" s="185"/>
    </row>
    <row r="4972" spans="1:16" hidden="1" outlineLevel="1">
      <c r="E4972" s="59"/>
      <c r="F4972" s="60"/>
      <c r="G4972" s="34"/>
      <c r="H4972" s="30" t="s">
        <v>5301</v>
      </c>
      <c r="I4972" s="35"/>
      <c r="J4972" s="41"/>
      <c r="K4972" s="10"/>
      <c r="L4972" s="32"/>
      <c r="M4972" s="10"/>
      <c r="N4972" s="33">
        <v>9</v>
      </c>
      <c r="O4972" s="31">
        <f>ROUND(PRODUCT(J4972:N4972),2)</f>
        <v>9</v>
      </c>
      <c r="P4972" s="185"/>
    </row>
    <row r="4973" spans="1:16" hidden="1" outlineLevel="1">
      <c r="E4973" s="59"/>
      <c r="F4973" s="60"/>
      <c r="G4973" s="34"/>
      <c r="H4973" s="30" t="s">
        <v>5302</v>
      </c>
      <c r="I4973" s="35"/>
      <c r="J4973" s="41"/>
      <c r="K4973" s="10"/>
      <c r="L4973" s="32"/>
      <c r="M4973" s="10"/>
      <c r="N4973" s="33">
        <v>21</v>
      </c>
      <c r="O4973" s="31">
        <f>ROUND(PRODUCT(J4973:N4973),2)</f>
        <v>21</v>
      </c>
      <c r="P4973" s="185"/>
    </row>
    <row r="4974" spans="1:16" hidden="1" outlineLevel="1">
      <c r="E4974" s="59"/>
      <c r="F4974" s="60"/>
      <c r="G4974" s="34"/>
      <c r="H4974" s="30" t="s">
        <v>5303</v>
      </c>
      <c r="I4974" s="35"/>
      <c r="J4974" s="41"/>
      <c r="K4974" s="10"/>
      <c r="L4974" s="32"/>
      <c r="M4974" s="10"/>
      <c r="N4974" s="33">
        <v>6</v>
      </c>
      <c r="O4974" s="31">
        <f>ROUND(PRODUCT(J4974:N4974),2)</f>
        <v>6</v>
      </c>
      <c r="P4974" s="185"/>
    </row>
    <row r="4975" spans="1:16" hidden="1" outlineLevel="1">
      <c r="E4975" s="59"/>
      <c r="F4975" s="60"/>
      <c r="G4975" s="34"/>
      <c r="H4975" s="30" t="s">
        <v>5297</v>
      </c>
      <c r="I4975" s="35"/>
      <c r="J4975" s="41"/>
      <c r="K4975" s="10"/>
      <c r="L4975" s="32"/>
      <c r="M4975" s="10"/>
      <c r="N4975" s="33">
        <v>3</v>
      </c>
      <c r="O4975" s="31">
        <f>ROUND(PRODUCT(J4975:N4975),2)</f>
        <v>3</v>
      </c>
      <c r="P4975" s="185"/>
    </row>
    <row r="4976" spans="1:16" hidden="1" outlineLevel="1">
      <c r="A4976" s="2">
        <v>11</v>
      </c>
      <c r="B4976" s="2">
        <v>3</v>
      </c>
      <c r="C4976" s="2">
        <f>C4971+1</f>
        <v>25</v>
      </c>
      <c r="E4976" s="20" t="str">
        <f>CONCATENATE(A4976,".",B4976,".",C4976)</f>
        <v>11.3.25</v>
      </c>
      <c r="F4976" s="21" t="s">
        <v>5350</v>
      </c>
      <c r="G4976" s="22" t="s">
        <v>5351</v>
      </c>
      <c r="H4976" s="23" t="s">
        <v>5352</v>
      </c>
      <c r="I4976" s="24" t="s">
        <v>36</v>
      </c>
      <c r="J4976" s="32"/>
      <c r="K4976" s="10"/>
      <c r="L4976" s="32"/>
      <c r="M4976" s="10"/>
      <c r="N4976" s="33"/>
      <c r="O4976" s="11">
        <f>SUM(O4977:O4980)</f>
        <v>54</v>
      </c>
      <c r="P4976" s="185"/>
    </row>
    <row r="4977" spans="1:16" hidden="1" outlineLevel="1">
      <c r="E4977" s="59"/>
      <c r="F4977" s="60"/>
      <c r="G4977" s="34"/>
      <c r="H4977" s="30" t="s">
        <v>5301</v>
      </c>
      <c r="I4977" s="35"/>
      <c r="J4977" s="41"/>
      <c r="K4977" s="10"/>
      <c r="L4977" s="32"/>
      <c r="M4977" s="10"/>
      <c r="N4977" s="33">
        <v>6</v>
      </c>
      <c r="O4977" s="31">
        <f>ROUND(PRODUCT(J4977:N4977),2)</f>
        <v>6</v>
      </c>
      <c r="P4977" s="185"/>
    </row>
    <row r="4978" spans="1:16" hidden="1" outlineLevel="1">
      <c r="E4978" s="59"/>
      <c r="F4978" s="60"/>
      <c r="G4978" s="34"/>
      <c r="H4978" s="30" t="s">
        <v>5296</v>
      </c>
      <c r="I4978" s="35"/>
      <c r="J4978" s="41"/>
      <c r="K4978" s="10"/>
      <c r="L4978" s="32"/>
      <c r="M4978" s="10"/>
      <c r="N4978" s="33">
        <v>9</v>
      </c>
      <c r="O4978" s="31">
        <f>ROUND(PRODUCT(J4978:N4978),2)</f>
        <v>9</v>
      </c>
      <c r="P4978" s="185"/>
    </row>
    <row r="4979" spans="1:16" hidden="1" outlineLevel="1">
      <c r="E4979" s="59"/>
      <c r="F4979" s="60"/>
      <c r="G4979" s="34"/>
      <c r="H4979" s="30" t="s">
        <v>5302</v>
      </c>
      <c r="I4979" s="35"/>
      <c r="J4979" s="41"/>
      <c r="K4979" s="10"/>
      <c r="L4979" s="32"/>
      <c r="M4979" s="10"/>
      <c r="N4979" s="33">
        <v>35</v>
      </c>
      <c r="O4979" s="31">
        <f>ROUND(PRODUCT(J4979:N4979),2)</f>
        <v>35</v>
      </c>
      <c r="P4979" s="185"/>
    </row>
    <row r="4980" spans="1:16" hidden="1" outlineLevel="1">
      <c r="E4980" s="59"/>
      <c r="F4980" s="60"/>
      <c r="G4980" s="34"/>
      <c r="H4980" s="30" t="s">
        <v>5303</v>
      </c>
      <c r="I4980" s="35"/>
      <c r="J4980" s="41"/>
      <c r="K4980" s="10"/>
      <c r="L4980" s="32"/>
      <c r="M4980" s="10"/>
      <c r="N4980" s="33">
        <v>4</v>
      </c>
      <c r="O4980" s="31">
        <f>ROUND(PRODUCT(J4980:N4980),2)</f>
        <v>4</v>
      </c>
      <c r="P4980" s="185"/>
    </row>
    <row r="4981" spans="1:16" hidden="1" outlineLevel="1">
      <c r="A4981" s="2">
        <v>11</v>
      </c>
      <c r="B4981" s="2">
        <v>3</v>
      </c>
      <c r="C4981" s="2">
        <f>C4976+1</f>
        <v>26</v>
      </c>
      <c r="E4981" s="20" t="str">
        <f>CONCATENATE(A4981,".",B4981,".",C4981)</f>
        <v>11.3.26</v>
      </c>
      <c r="F4981" s="21" t="s">
        <v>5353</v>
      </c>
      <c r="G4981" s="22" t="s">
        <v>5354</v>
      </c>
      <c r="H4981" s="23" t="s">
        <v>5355</v>
      </c>
      <c r="I4981" s="24" t="s">
        <v>36</v>
      </c>
      <c r="J4981" s="32"/>
      <c r="K4981" s="10"/>
      <c r="L4981" s="32"/>
      <c r="M4981" s="10"/>
      <c r="N4981" s="33"/>
      <c r="O4981" s="11">
        <f>SUM(O4982:O4991)</f>
        <v>121</v>
      </c>
      <c r="P4981" s="185"/>
    </row>
    <row r="4982" spans="1:16" hidden="1" outlineLevel="1">
      <c r="E4982" s="59"/>
      <c r="F4982" s="60"/>
      <c r="G4982" s="34"/>
      <c r="H4982" s="30" t="s">
        <v>5301</v>
      </c>
      <c r="I4982" s="35"/>
      <c r="J4982" s="41"/>
      <c r="K4982" s="10"/>
      <c r="L4982" s="32"/>
      <c r="M4982" s="10"/>
      <c r="N4982" s="33">
        <v>3</v>
      </c>
      <c r="O4982" s="31">
        <f t="shared" ref="O4982:O4991" si="110">ROUND(PRODUCT(J4982:N4982),2)</f>
        <v>3</v>
      </c>
      <c r="P4982" s="185"/>
    </row>
    <row r="4983" spans="1:16" hidden="1" outlineLevel="1">
      <c r="E4983" s="59"/>
      <c r="F4983" s="60"/>
      <c r="G4983" s="34"/>
      <c r="H4983" s="30" t="s">
        <v>5294</v>
      </c>
      <c r="I4983" s="35"/>
      <c r="J4983" s="41"/>
      <c r="K4983" s="10"/>
      <c r="L4983" s="32"/>
      <c r="M4983" s="10"/>
      <c r="N4983" s="33">
        <v>6</v>
      </c>
      <c r="O4983" s="31">
        <f t="shared" si="110"/>
        <v>6</v>
      </c>
      <c r="P4983" s="185"/>
    </row>
    <row r="4984" spans="1:16" hidden="1" outlineLevel="1">
      <c r="E4984" s="59"/>
      <c r="F4984" s="60"/>
      <c r="G4984" s="34"/>
      <c r="H4984" s="30" t="s">
        <v>5300</v>
      </c>
      <c r="I4984" s="35"/>
      <c r="J4984" s="41"/>
      <c r="K4984" s="10"/>
      <c r="L4984" s="32"/>
      <c r="M4984" s="10"/>
      <c r="N4984" s="33">
        <v>18</v>
      </c>
      <c r="O4984" s="31">
        <f t="shared" si="110"/>
        <v>18</v>
      </c>
      <c r="P4984" s="185"/>
    </row>
    <row r="4985" spans="1:16" hidden="1" outlineLevel="1">
      <c r="E4985" s="59"/>
      <c r="F4985" s="60"/>
      <c r="G4985" s="34"/>
      <c r="H4985" s="30" t="s">
        <v>5301</v>
      </c>
      <c r="I4985" s="35"/>
      <c r="J4985" s="41"/>
      <c r="K4985" s="10"/>
      <c r="L4985" s="32"/>
      <c r="M4985" s="10"/>
      <c r="N4985" s="33">
        <v>9</v>
      </c>
      <c r="O4985" s="31">
        <f t="shared" si="110"/>
        <v>9</v>
      </c>
      <c r="P4985" s="185"/>
    </row>
    <row r="4986" spans="1:16" hidden="1" outlineLevel="1">
      <c r="E4986" s="59"/>
      <c r="F4986" s="60"/>
      <c r="G4986" s="34"/>
      <c r="H4986" s="30" t="s">
        <v>5295</v>
      </c>
      <c r="I4986" s="35"/>
      <c r="J4986" s="41"/>
      <c r="K4986" s="10"/>
      <c r="L4986" s="32"/>
      <c r="M4986" s="10"/>
      <c r="N4986" s="33">
        <v>3</v>
      </c>
      <c r="O4986" s="31">
        <f t="shared" si="110"/>
        <v>3</v>
      </c>
      <c r="P4986" s="185"/>
    </row>
    <row r="4987" spans="1:16" hidden="1" outlineLevel="1">
      <c r="E4987" s="59"/>
      <c r="F4987" s="60"/>
      <c r="G4987" s="34"/>
      <c r="H4987" s="30" t="s">
        <v>5296</v>
      </c>
      <c r="I4987" s="35"/>
      <c r="J4987" s="41"/>
      <c r="K4987" s="10"/>
      <c r="L4987" s="32"/>
      <c r="M4987" s="10"/>
      <c r="N4987" s="33">
        <v>24</v>
      </c>
      <c r="O4987" s="31">
        <f t="shared" si="110"/>
        <v>24</v>
      </c>
      <c r="P4987" s="185"/>
    </row>
    <row r="4988" spans="1:16" hidden="1" outlineLevel="1">
      <c r="E4988" s="59"/>
      <c r="F4988" s="60"/>
      <c r="G4988" s="34"/>
      <c r="H4988" s="30" t="s">
        <v>5302</v>
      </c>
      <c r="I4988" s="35"/>
      <c r="J4988" s="41"/>
      <c r="K4988" s="10"/>
      <c r="L4988" s="32"/>
      <c r="M4988" s="10"/>
      <c r="N4988" s="33">
        <v>42</v>
      </c>
      <c r="O4988" s="31">
        <f t="shared" si="110"/>
        <v>42</v>
      </c>
      <c r="P4988" s="185"/>
    </row>
    <row r="4989" spans="1:16" hidden="1" outlineLevel="1">
      <c r="E4989" s="59"/>
      <c r="F4989" s="60"/>
      <c r="G4989" s="34"/>
      <c r="H4989" s="30" t="s">
        <v>5297</v>
      </c>
      <c r="I4989" s="35"/>
      <c r="J4989" s="41"/>
      <c r="K4989" s="10"/>
      <c r="L4989" s="32"/>
      <c r="M4989" s="10"/>
      <c r="N4989" s="33">
        <v>8</v>
      </c>
      <c r="O4989" s="31">
        <f t="shared" si="110"/>
        <v>8</v>
      </c>
      <c r="P4989" s="185"/>
    </row>
    <row r="4990" spans="1:16" hidden="1" outlineLevel="1">
      <c r="E4990" s="59"/>
      <c r="F4990" s="60"/>
      <c r="G4990" s="34"/>
      <c r="H4990" s="30" t="s">
        <v>5303</v>
      </c>
      <c r="I4990" s="35"/>
      <c r="J4990" s="41"/>
      <c r="K4990" s="10"/>
      <c r="L4990" s="32"/>
      <c r="M4990" s="10"/>
      <c r="N4990" s="33">
        <v>6</v>
      </c>
      <c r="O4990" s="31">
        <f t="shared" si="110"/>
        <v>6</v>
      </c>
      <c r="P4990" s="185"/>
    </row>
    <row r="4991" spans="1:16" hidden="1" outlineLevel="1">
      <c r="E4991" s="59"/>
      <c r="F4991" s="60"/>
      <c r="G4991" s="34"/>
      <c r="H4991" s="30" t="s">
        <v>5303</v>
      </c>
      <c r="I4991" s="35"/>
      <c r="J4991" s="41"/>
      <c r="K4991" s="10"/>
      <c r="L4991" s="32"/>
      <c r="M4991" s="10"/>
      <c r="N4991" s="33">
        <v>2</v>
      </c>
      <c r="O4991" s="31">
        <f t="shared" si="110"/>
        <v>2</v>
      </c>
      <c r="P4991" s="185"/>
    </row>
    <row r="4992" spans="1:16" hidden="1" outlineLevel="1">
      <c r="A4992" s="2">
        <v>11</v>
      </c>
      <c r="B4992" s="2">
        <v>3</v>
      </c>
      <c r="C4992" s="2">
        <f>C4981+1</f>
        <v>27</v>
      </c>
      <c r="E4992" s="20" t="str">
        <f>CONCATENATE(A4992,".",B4992,".",C4992)</f>
        <v>11.3.27</v>
      </c>
      <c r="F4992" s="21" t="s">
        <v>5356</v>
      </c>
      <c r="G4992" s="22" t="s">
        <v>5357</v>
      </c>
      <c r="H4992" s="23" t="s">
        <v>5358</v>
      </c>
      <c r="I4992" s="24" t="s">
        <v>36</v>
      </c>
      <c r="J4992" s="32"/>
      <c r="K4992" s="10"/>
      <c r="L4992" s="32"/>
      <c r="M4992" s="10"/>
      <c r="N4992" s="33"/>
      <c r="O4992" s="11">
        <f>SUM(O4993:O4994)</f>
        <v>20</v>
      </c>
      <c r="P4992" s="185"/>
    </row>
    <row r="4993" spans="1:16" hidden="1" outlineLevel="1">
      <c r="E4993" s="59"/>
      <c r="F4993" s="60"/>
      <c r="G4993" s="34"/>
      <c r="H4993" s="30" t="s">
        <v>5296</v>
      </c>
      <c r="I4993" s="35"/>
      <c r="J4993" s="41"/>
      <c r="K4993" s="10"/>
      <c r="L4993" s="32"/>
      <c r="M4993" s="10"/>
      <c r="N4993" s="33">
        <v>6</v>
      </c>
      <c r="O4993" s="31">
        <f>ROUND(PRODUCT(J4993:N4993),2)</f>
        <v>6</v>
      </c>
      <c r="P4993" s="185"/>
    </row>
    <row r="4994" spans="1:16" hidden="1" outlineLevel="1">
      <c r="E4994" s="59"/>
      <c r="F4994" s="60"/>
      <c r="G4994" s="34"/>
      <c r="H4994" s="30" t="s">
        <v>5302</v>
      </c>
      <c r="I4994" s="35"/>
      <c r="J4994" s="41"/>
      <c r="K4994" s="10"/>
      <c r="L4994" s="32"/>
      <c r="M4994" s="10"/>
      <c r="N4994" s="33">
        <v>14</v>
      </c>
      <c r="O4994" s="31">
        <f>ROUND(PRODUCT(J4994:N4994),2)</f>
        <v>14</v>
      </c>
      <c r="P4994" s="185"/>
    </row>
    <row r="4995" spans="1:16" hidden="1" outlineLevel="1">
      <c r="A4995" s="2">
        <v>11</v>
      </c>
      <c r="B4995" s="2">
        <v>3</v>
      </c>
      <c r="C4995" s="2">
        <f>C4992+1</f>
        <v>28</v>
      </c>
      <c r="E4995" s="20" t="str">
        <f>CONCATENATE(A4995,".",B4995,".",C4995)</f>
        <v>11.3.28</v>
      </c>
      <c r="F4995" s="21" t="s">
        <v>5359</v>
      </c>
      <c r="G4995" s="22" t="s">
        <v>5360</v>
      </c>
      <c r="H4995" s="23" t="s">
        <v>5361</v>
      </c>
      <c r="I4995" s="24" t="s">
        <v>36</v>
      </c>
      <c r="J4995" s="32"/>
      <c r="K4995" s="10"/>
      <c r="L4995" s="32"/>
      <c r="M4995" s="10"/>
      <c r="N4995" s="33"/>
      <c r="O4995" s="11">
        <f>SUM(O4996:O4998)</f>
        <v>33</v>
      </c>
      <c r="P4995" s="185"/>
    </row>
    <row r="4996" spans="1:16" hidden="1" outlineLevel="1">
      <c r="E4996" s="59"/>
      <c r="F4996" s="60"/>
      <c r="G4996" s="34"/>
      <c r="H4996" s="30" t="s">
        <v>5296</v>
      </c>
      <c r="I4996" s="35"/>
      <c r="J4996" s="41"/>
      <c r="K4996" s="10"/>
      <c r="L4996" s="32"/>
      <c r="M4996" s="10"/>
      <c r="N4996" s="33">
        <v>9</v>
      </c>
      <c r="O4996" s="31">
        <f>ROUND(PRODUCT(J4996:N4996),2)</f>
        <v>9</v>
      </c>
      <c r="P4996" s="185"/>
    </row>
    <row r="4997" spans="1:16" hidden="1" outlineLevel="1">
      <c r="E4997" s="59"/>
      <c r="F4997" s="60"/>
      <c r="G4997" s="34"/>
      <c r="H4997" s="30" t="s">
        <v>5302</v>
      </c>
      <c r="I4997" s="35"/>
      <c r="J4997" s="41"/>
      <c r="K4997" s="10"/>
      <c r="L4997" s="32"/>
      <c r="M4997" s="10"/>
      <c r="N4997" s="33">
        <v>21</v>
      </c>
      <c r="O4997" s="31">
        <f>ROUND(PRODUCT(J4997:N4997),2)</f>
        <v>21</v>
      </c>
      <c r="P4997" s="185"/>
    </row>
    <row r="4998" spans="1:16" hidden="1" outlineLevel="1">
      <c r="E4998" s="59"/>
      <c r="F4998" s="60"/>
      <c r="G4998" s="34"/>
      <c r="H4998" s="30" t="s">
        <v>5297</v>
      </c>
      <c r="I4998" s="35"/>
      <c r="J4998" s="41"/>
      <c r="K4998" s="10"/>
      <c r="L4998" s="32"/>
      <c r="M4998" s="10"/>
      <c r="N4998" s="33">
        <v>3</v>
      </c>
      <c r="O4998" s="31">
        <f>ROUND(PRODUCT(J4998:N4998),2)</f>
        <v>3</v>
      </c>
      <c r="P4998" s="185"/>
    </row>
    <row r="4999" spans="1:16" hidden="1" outlineLevel="1">
      <c r="A4999" s="2">
        <v>11</v>
      </c>
      <c r="B4999" s="2">
        <v>3</v>
      </c>
      <c r="C4999" s="2">
        <f>C4995+1</f>
        <v>29</v>
      </c>
      <c r="E4999" s="20" t="str">
        <f>CONCATENATE(A4999,".",B4999,".",C4999)</f>
        <v>11.3.29</v>
      </c>
      <c r="F4999" s="21" t="s">
        <v>5362</v>
      </c>
      <c r="G4999" s="22" t="s">
        <v>5363</v>
      </c>
      <c r="H4999" s="23" t="s">
        <v>5364</v>
      </c>
      <c r="I4999" s="24" t="s">
        <v>144</v>
      </c>
      <c r="J4999" s="32"/>
      <c r="K4999" s="10"/>
      <c r="L4999" s="32"/>
      <c r="M4999" s="10"/>
      <c r="N4999" s="33"/>
      <c r="O4999" s="11">
        <f>SUM(O5000:O5003)</f>
        <v>101</v>
      </c>
      <c r="P4999" s="185"/>
    </row>
    <row r="5000" spans="1:16" hidden="1" outlineLevel="1">
      <c r="E5000" s="59"/>
      <c r="F5000" s="60"/>
      <c r="G5000" s="34"/>
      <c r="H5000" s="30" t="s">
        <v>5296</v>
      </c>
      <c r="I5000" s="35"/>
      <c r="J5000" s="41"/>
      <c r="K5000" s="10"/>
      <c r="L5000" s="32"/>
      <c r="M5000" s="10"/>
      <c r="N5000" s="33">
        <v>16.5</v>
      </c>
      <c r="O5000" s="31">
        <f>ROUND(PRODUCT(J5000:N5000),2)</f>
        <v>16.5</v>
      </c>
      <c r="P5000" s="185"/>
    </row>
    <row r="5001" spans="1:16" hidden="1" outlineLevel="1">
      <c r="E5001" s="59"/>
      <c r="F5001" s="60"/>
      <c r="G5001" s="34"/>
      <c r="H5001" s="30" t="s">
        <v>5302</v>
      </c>
      <c r="I5001" s="35"/>
      <c r="J5001" s="41"/>
      <c r="K5001" s="10"/>
      <c r="L5001" s="32"/>
      <c r="M5001" s="10"/>
      <c r="N5001" s="33">
        <v>66.5</v>
      </c>
      <c r="O5001" s="31">
        <f>ROUND(PRODUCT(J5001:N5001),2)</f>
        <v>66.5</v>
      </c>
      <c r="P5001" s="185"/>
    </row>
    <row r="5002" spans="1:16" hidden="1" outlineLevel="1">
      <c r="E5002" s="59"/>
      <c r="F5002" s="60"/>
      <c r="G5002" s="34"/>
      <c r="H5002" s="30" t="s">
        <v>5303</v>
      </c>
      <c r="I5002" s="35"/>
      <c r="J5002" s="41"/>
      <c r="K5002" s="10"/>
      <c r="L5002" s="32"/>
      <c r="M5002" s="10"/>
      <c r="N5002" s="33">
        <v>12</v>
      </c>
      <c r="O5002" s="31">
        <f>ROUND(PRODUCT(J5002:N5002),2)</f>
        <v>12</v>
      </c>
      <c r="P5002" s="185"/>
    </row>
    <row r="5003" spans="1:16" hidden="1" outlineLevel="1">
      <c r="E5003" s="59"/>
      <c r="F5003" s="60"/>
      <c r="G5003" s="34"/>
      <c r="H5003" s="30" t="s">
        <v>5297</v>
      </c>
      <c r="I5003" s="35"/>
      <c r="J5003" s="41"/>
      <c r="K5003" s="10"/>
      <c r="L5003" s="32"/>
      <c r="M5003" s="10"/>
      <c r="N5003" s="33">
        <v>6</v>
      </c>
      <c r="O5003" s="31">
        <f>ROUND(PRODUCT(J5003:N5003),2)</f>
        <v>6</v>
      </c>
      <c r="P5003" s="185"/>
    </row>
    <row r="5004" spans="1:16" hidden="1" outlineLevel="1">
      <c r="A5004" s="2">
        <v>11</v>
      </c>
      <c r="B5004" s="2">
        <v>3</v>
      </c>
      <c r="C5004" s="2">
        <f>C4999+1</f>
        <v>30</v>
      </c>
      <c r="E5004" s="20" t="str">
        <f>CONCATENATE(A5004,".",B5004,".",C5004)</f>
        <v>11.3.30</v>
      </c>
      <c r="F5004" s="21" t="s">
        <v>5365</v>
      </c>
      <c r="G5004" s="22" t="s">
        <v>5366</v>
      </c>
      <c r="H5004" s="23" t="s">
        <v>5367</v>
      </c>
      <c r="I5004" s="24" t="s">
        <v>36</v>
      </c>
      <c r="J5004" s="32"/>
      <c r="K5004" s="10"/>
      <c r="L5004" s="32"/>
      <c r="M5004" s="10"/>
      <c r="N5004" s="33"/>
      <c r="O5004" s="11">
        <f>SUM(O5005:O5006)</f>
        <v>30</v>
      </c>
      <c r="P5004" s="185"/>
    </row>
    <row r="5005" spans="1:16" hidden="1" outlineLevel="1">
      <c r="E5005" s="59"/>
      <c r="F5005" s="60"/>
      <c r="G5005" s="34"/>
      <c r="H5005" s="30" t="s">
        <v>5296</v>
      </c>
      <c r="I5005" s="35"/>
      <c r="J5005" s="41"/>
      <c r="K5005" s="10"/>
      <c r="L5005" s="32"/>
      <c r="M5005" s="10"/>
      <c r="N5005" s="33">
        <v>9</v>
      </c>
      <c r="O5005" s="31">
        <f>ROUND(PRODUCT(J5005:N5005),2)</f>
        <v>9</v>
      </c>
      <c r="P5005" s="185"/>
    </row>
    <row r="5006" spans="1:16" hidden="1" outlineLevel="1">
      <c r="E5006" s="59"/>
      <c r="F5006" s="60"/>
      <c r="G5006" s="34"/>
      <c r="H5006" s="30" t="s">
        <v>5302</v>
      </c>
      <c r="I5006" s="35"/>
      <c r="J5006" s="41"/>
      <c r="K5006" s="10"/>
      <c r="L5006" s="32"/>
      <c r="M5006" s="10"/>
      <c r="N5006" s="33">
        <v>21</v>
      </c>
      <c r="O5006" s="31">
        <f>ROUND(PRODUCT(J5006:N5006),2)</f>
        <v>21</v>
      </c>
      <c r="P5006" s="185"/>
    </row>
    <row r="5007" spans="1:16" ht="30" hidden="1" outlineLevel="1">
      <c r="A5007" s="2">
        <v>11</v>
      </c>
      <c r="B5007" s="2">
        <v>3</v>
      </c>
      <c r="C5007" s="2">
        <f>C5004+1</f>
        <v>31</v>
      </c>
      <c r="E5007" s="20" t="str">
        <f>CONCATENATE(A5007,".",B5007,".",C5007)</f>
        <v>11.3.31</v>
      </c>
      <c r="F5007" s="21" t="s">
        <v>5368</v>
      </c>
      <c r="G5007" s="22" t="s">
        <v>5369</v>
      </c>
      <c r="H5007" s="23" t="s">
        <v>5370</v>
      </c>
      <c r="I5007" s="24" t="s">
        <v>36</v>
      </c>
      <c r="J5007" s="32"/>
      <c r="K5007" s="10"/>
      <c r="L5007" s="32"/>
      <c r="M5007" s="10"/>
      <c r="N5007" s="33"/>
      <c r="O5007" s="11">
        <f>SUM(O5008:O5009)</f>
        <v>30</v>
      </c>
      <c r="P5007" s="185"/>
    </row>
    <row r="5008" spans="1:16" hidden="1" outlineLevel="1">
      <c r="E5008" s="59"/>
      <c r="F5008" s="60"/>
      <c r="G5008" s="34"/>
      <c r="H5008" s="30" t="s">
        <v>5296</v>
      </c>
      <c r="I5008" s="35"/>
      <c r="J5008" s="41"/>
      <c r="K5008" s="10"/>
      <c r="L5008" s="32"/>
      <c r="M5008" s="10"/>
      <c r="N5008" s="33">
        <v>9</v>
      </c>
      <c r="O5008" s="31">
        <f>ROUND(PRODUCT(J5008:N5008),2)</f>
        <v>9</v>
      </c>
      <c r="P5008" s="185"/>
    </row>
    <row r="5009" spans="1:16" hidden="1" outlineLevel="1">
      <c r="E5009" s="59"/>
      <c r="F5009" s="60"/>
      <c r="G5009" s="34"/>
      <c r="H5009" s="30" t="s">
        <v>5302</v>
      </c>
      <c r="I5009" s="35"/>
      <c r="J5009" s="41"/>
      <c r="K5009" s="10"/>
      <c r="L5009" s="32"/>
      <c r="M5009" s="10"/>
      <c r="N5009" s="33">
        <v>21</v>
      </c>
      <c r="O5009" s="31">
        <f>ROUND(PRODUCT(J5009:N5009),2)</f>
        <v>21</v>
      </c>
      <c r="P5009" s="185"/>
    </row>
    <row r="5010" spans="1:16" hidden="1" outlineLevel="1">
      <c r="A5010" s="2">
        <v>11</v>
      </c>
      <c r="B5010" s="2">
        <v>3</v>
      </c>
      <c r="C5010" s="2">
        <f>C5007+1</f>
        <v>32</v>
      </c>
      <c r="E5010" s="20" t="str">
        <f>CONCATENATE(A5010,".",B5010,".",C5010)</f>
        <v>11.3.32</v>
      </c>
      <c r="F5010" s="21" t="s">
        <v>5371</v>
      </c>
      <c r="G5010" s="22" t="s">
        <v>5372</v>
      </c>
      <c r="H5010" s="23" t="s">
        <v>5373</v>
      </c>
      <c r="I5010" s="24" t="s">
        <v>36</v>
      </c>
      <c r="J5010" s="32"/>
      <c r="K5010" s="10"/>
      <c r="L5010" s="32"/>
      <c r="M5010" s="10"/>
      <c r="N5010" s="33"/>
      <c r="O5010" s="11">
        <f>SUM(O5011:O5013)</f>
        <v>19</v>
      </c>
      <c r="P5010" s="185"/>
    </row>
    <row r="5011" spans="1:16" hidden="1" outlineLevel="1">
      <c r="E5011" s="59"/>
      <c r="F5011" s="60"/>
      <c r="G5011" s="34"/>
      <c r="H5011" s="30" t="s">
        <v>5302</v>
      </c>
      <c r="I5011" s="35"/>
      <c r="J5011" s="41"/>
      <c r="K5011" s="10"/>
      <c r="L5011" s="32"/>
      <c r="M5011" s="10"/>
      <c r="N5011" s="33">
        <v>15</v>
      </c>
      <c r="O5011" s="31">
        <f>ROUND(PRODUCT(J5011:N5011),2)</f>
        <v>15</v>
      </c>
      <c r="P5011" s="185"/>
    </row>
    <row r="5012" spans="1:16" hidden="1" outlineLevel="1">
      <c r="E5012" s="59"/>
      <c r="F5012" s="60"/>
      <c r="G5012" s="34"/>
      <c r="H5012" s="30" t="s">
        <v>5297</v>
      </c>
      <c r="I5012" s="35"/>
      <c r="J5012" s="41"/>
      <c r="K5012" s="10"/>
      <c r="L5012" s="32"/>
      <c r="M5012" s="10"/>
      <c r="N5012" s="33">
        <v>3</v>
      </c>
      <c r="O5012" s="31">
        <f>ROUND(PRODUCT(J5012:N5012),2)</f>
        <v>3</v>
      </c>
      <c r="P5012" s="185"/>
    </row>
    <row r="5013" spans="1:16" hidden="1" outlineLevel="1">
      <c r="E5013" s="59"/>
      <c r="F5013" s="60"/>
      <c r="G5013" s="34"/>
      <c r="H5013" s="30" t="s">
        <v>5297</v>
      </c>
      <c r="I5013" s="35"/>
      <c r="J5013" s="41"/>
      <c r="K5013" s="10"/>
      <c r="L5013" s="32"/>
      <c r="M5013" s="10"/>
      <c r="N5013" s="33">
        <v>1</v>
      </c>
      <c r="O5013" s="31">
        <f>ROUND(PRODUCT(J5013:N5013),2)</f>
        <v>1</v>
      </c>
      <c r="P5013" s="185"/>
    </row>
    <row r="5014" spans="1:16" hidden="1" outlineLevel="1">
      <c r="A5014" s="2">
        <v>11</v>
      </c>
      <c r="B5014" s="2">
        <v>3</v>
      </c>
      <c r="C5014" s="2">
        <f>C5010+1</f>
        <v>33</v>
      </c>
      <c r="E5014" s="20" t="str">
        <f>CONCATENATE(A5014,".",B5014,".",C5014)</f>
        <v>11.3.33</v>
      </c>
      <c r="F5014" s="21" t="s">
        <v>5374</v>
      </c>
      <c r="G5014" s="22" t="s">
        <v>5375</v>
      </c>
      <c r="H5014" s="23" t="s">
        <v>5376</v>
      </c>
      <c r="I5014" s="24" t="s">
        <v>36</v>
      </c>
      <c r="J5014" s="32"/>
      <c r="K5014" s="10"/>
      <c r="L5014" s="32"/>
      <c r="M5014" s="10"/>
      <c r="N5014" s="33"/>
      <c r="O5014" s="11">
        <f>SUM(O5015)</f>
        <v>3</v>
      </c>
      <c r="P5014" s="185"/>
    </row>
    <row r="5015" spans="1:16" hidden="1" outlineLevel="1">
      <c r="E5015" s="59"/>
      <c r="F5015" s="60"/>
      <c r="G5015" s="34"/>
      <c r="H5015" s="30"/>
      <c r="I5015" s="35"/>
      <c r="J5015" s="41"/>
      <c r="K5015" s="10"/>
      <c r="L5015" s="32"/>
      <c r="M5015" s="10"/>
      <c r="N5015" s="33">
        <v>3</v>
      </c>
      <c r="O5015" s="31">
        <f>ROUND(PRODUCT(J5015:N5015),2)</f>
        <v>3</v>
      </c>
      <c r="P5015" s="185"/>
    </row>
    <row r="5016" spans="1:16" hidden="1" outlineLevel="1">
      <c r="A5016" s="2">
        <v>11</v>
      </c>
      <c r="B5016" s="2">
        <v>3</v>
      </c>
      <c r="C5016" s="2">
        <f>C5014+1</f>
        <v>34</v>
      </c>
      <c r="E5016" s="20" t="str">
        <f>CONCATENATE(A5016,".",B5016,".",C5016)</f>
        <v>11.3.34</v>
      </c>
      <c r="F5016" s="21" t="s">
        <v>5377</v>
      </c>
      <c r="G5016" s="22" t="s">
        <v>5378</v>
      </c>
      <c r="H5016" s="23" t="s">
        <v>5379</v>
      </c>
      <c r="I5016" s="24" t="s">
        <v>36</v>
      </c>
      <c r="J5016" s="32"/>
      <c r="K5016" s="10"/>
      <c r="L5016" s="32"/>
      <c r="M5016" s="10"/>
      <c r="N5016" s="33"/>
      <c r="O5016" s="11">
        <f>SUM(O5017:O5018)</f>
        <v>5</v>
      </c>
      <c r="P5016" s="185"/>
    </row>
    <row r="5017" spans="1:16" hidden="1" outlineLevel="1">
      <c r="E5017" s="59"/>
      <c r="F5017" s="60"/>
      <c r="G5017" s="34"/>
      <c r="H5017" s="30" t="s">
        <v>5301</v>
      </c>
      <c r="I5017" s="35"/>
      <c r="J5017" s="41"/>
      <c r="K5017" s="10"/>
      <c r="L5017" s="32"/>
      <c r="M5017" s="10"/>
      <c r="N5017" s="33">
        <v>3</v>
      </c>
      <c r="O5017" s="31">
        <f>ROUND(PRODUCT(J5017:N5017),2)</f>
        <v>3</v>
      </c>
      <c r="P5017" s="185"/>
    </row>
    <row r="5018" spans="1:16" hidden="1" outlineLevel="1">
      <c r="E5018" s="59"/>
      <c r="F5018" s="60"/>
      <c r="G5018" s="34"/>
      <c r="H5018" s="30" t="s">
        <v>5303</v>
      </c>
      <c r="I5018" s="35"/>
      <c r="J5018" s="41"/>
      <c r="K5018" s="10"/>
      <c r="L5018" s="32"/>
      <c r="M5018" s="10"/>
      <c r="N5018" s="33">
        <v>2</v>
      </c>
      <c r="O5018" s="31">
        <f>ROUND(PRODUCT(J5018:N5018),2)</f>
        <v>2</v>
      </c>
      <c r="P5018" s="185"/>
    </row>
    <row r="5019" spans="1:16" ht="30" hidden="1" outlineLevel="1">
      <c r="A5019" s="2">
        <v>11</v>
      </c>
      <c r="B5019" s="2">
        <v>3</v>
      </c>
      <c r="C5019" s="2">
        <f>C5016+1</f>
        <v>35</v>
      </c>
      <c r="E5019" s="20" t="str">
        <f>CONCATENATE(A5019,".",B5019,".",C5019)</f>
        <v>11.3.35</v>
      </c>
      <c r="F5019" s="21" t="s">
        <v>5380</v>
      </c>
      <c r="G5019" s="22" t="s">
        <v>5381</v>
      </c>
      <c r="H5019" s="23" t="s">
        <v>5382</v>
      </c>
      <c r="I5019" s="24" t="s">
        <v>36</v>
      </c>
      <c r="J5019" s="32"/>
      <c r="K5019" s="10"/>
      <c r="L5019" s="32"/>
      <c r="M5019" s="10"/>
      <c r="N5019" s="33"/>
      <c r="O5019" s="11">
        <f>SUM(O5020:O5022)</f>
        <v>18</v>
      </c>
      <c r="P5019" s="185"/>
    </row>
    <row r="5020" spans="1:16" hidden="1" outlineLevel="1">
      <c r="E5020" s="59"/>
      <c r="F5020" s="60"/>
      <c r="G5020" s="34"/>
      <c r="H5020" s="30" t="s">
        <v>5297</v>
      </c>
      <c r="I5020" s="35"/>
      <c r="J5020" s="41"/>
      <c r="K5020" s="10"/>
      <c r="L5020" s="32"/>
      <c r="M5020" s="10"/>
      <c r="N5020" s="33">
        <v>3</v>
      </c>
      <c r="O5020" s="31">
        <f>ROUND(PRODUCT(J5020:N5020),2)</f>
        <v>3</v>
      </c>
      <c r="P5020" s="185"/>
    </row>
    <row r="5021" spans="1:16" hidden="1" outlineLevel="1">
      <c r="E5021" s="59"/>
      <c r="F5021" s="60"/>
      <c r="G5021" s="34"/>
      <c r="H5021" s="30" t="s">
        <v>5303</v>
      </c>
      <c r="I5021" s="35"/>
      <c r="J5021" s="41"/>
      <c r="K5021" s="10"/>
      <c r="L5021" s="32"/>
      <c r="M5021" s="10"/>
      <c r="N5021" s="33">
        <v>6</v>
      </c>
      <c r="O5021" s="31">
        <f>ROUND(PRODUCT(J5021:N5021),2)</f>
        <v>6</v>
      </c>
      <c r="P5021" s="185"/>
    </row>
    <row r="5022" spans="1:16" hidden="1" outlineLevel="1">
      <c r="E5022" s="59"/>
      <c r="F5022" s="60"/>
      <c r="G5022" s="34"/>
      <c r="H5022" s="30" t="s">
        <v>5301</v>
      </c>
      <c r="I5022" s="35"/>
      <c r="J5022" s="41"/>
      <c r="K5022" s="10"/>
      <c r="L5022" s="32"/>
      <c r="M5022" s="10"/>
      <c r="N5022" s="33">
        <v>9</v>
      </c>
      <c r="O5022" s="31">
        <f>ROUND(PRODUCT(J5022:N5022),2)</f>
        <v>9</v>
      </c>
      <c r="P5022" s="185"/>
    </row>
    <row r="5023" spans="1:16" hidden="1" outlineLevel="1">
      <c r="A5023" s="2">
        <v>11</v>
      </c>
      <c r="B5023" s="2">
        <v>3</v>
      </c>
      <c r="C5023" s="2">
        <f>C5019+1</f>
        <v>36</v>
      </c>
      <c r="E5023" s="20" t="str">
        <f>CONCATENATE(A5023,".",B5023,".",C5023)</f>
        <v>11.3.36</v>
      </c>
      <c r="F5023" s="21" t="s">
        <v>5383</v>
      </c>
      <c r="G5023" s="22" t="s">
        <v>5384</v>
      </c>
      <c r="H5023" s="23" t="s">
        <v>5385</v>
      </c>
      <c r="I5023" s="24" t="s">
        <v>36</v>
      </c>
      <c r="J5023" s="32"/>
      <c r="K5023" s="10"/>
      <c r="L5023" s="32"/>
      <c r="M5023" s="10"/>
      <c r="N5023" s="33"/>
      <c r="O5023" s="11">
        <f>SUM(O5024:O5026)</f>
        <v>33</v>
      </c>
      <c r="P5023" s="185"/>
    </row>
    <row r="5024" spans="1:16" hidden="1" outlineLevel="1">
      <c r="E5024" s="59"/>
      <c r="F5024" s="60"/>
      <c r="G5024" s="34"/>
      <c r="H5024" s="30" t="s">
        <v>5296</v>
      </c>
      <c r="I5024" s="35"/>
      <c r="J5024" s="41"/>
      <c r="K5024" s="10"/>
      <c r="L5024" s="32"/>
      <c r="M5024" s="10"/>
      <c r="N5024" s="33">
        <v>9</v>
      </c>
      <c r="O5024" s="31">
        <f>ROUND(PRODUCT(J5024:N5024),2)</f>
        <v>9</v>
      </c>
      <c r="P5024" s="185"/>
    </row>
    <row r="5025" spans="1:16" hidden="1" outlineLevel="1">
      <c r="E5025" s="59"/>
      <c r="F5025" s="60"/>
      <c r="G5025" s="34"/>
      <c r="H5025" s="30" t="s">
        <v>5297</v>
      </c>
      <c r="I5025" s="35"/>
      <c r="J5025" s="41"/>
      <c r="K5025" s="10"/>
      <c r="L5025" s="32"/>
      <c r="M5025" s="10"/>
      <c r="N5025" s="33">
        <v>3</v>
      </c>
      <c r="O5025" s="31">
        <f>ROUND(PRODUCT(J5025:N5025),2)</f>
        <v>3</v>
      </c>
      <c r="P5025" s="185"/>
    </row>
    <row r="5026" spans="1:16" hidden="1" outlineLevel="1">
      <c r="E5026" s="59"/>
      <c r="F5026" s="60"/>
      <c r="G5026" s="34"/>
      <c r="H5026" s="30" t="s">
        <v>5302</v>
      </c>
      <c r="I5026" s="35"/>
      <c r="J5026" s="41"/>
      <c r="K5026" s="10"/>
      <c r="L5026" s="32"/>
      <c r="M5026" s="10"/>
      <c r="N5026" s="33">
        <v>21</v>
      </c>
      <c r="O5026" s="31">
        <f>ROUND(PRODUCT(J5026:N5026),2)</f>
        <v>21</v>
      </c>
      <c r="P5026" s="185"/>
    </row>
    <row r="5027" spans="1:16" hidden="1" outlineLevel="1">
      <c r="A5027" s="2">
        <v>11</v>
      </c>
      <c r="B5027" s="2">
        <v>3</v>
      </c>
      <c r="C5027" s="2">
        <f>C5023+1</f>
        <v>37</v>
      </c>
      <c r="E5027" s="20" t="str">
        <f>CONCATENATE(A5027,".",B5027,".",C5027)</f>
        <v>11.3.37</v>
      </c>
      <c r="F5027" s="21" t="s">
        <v>5386</v>
      </c>
      <c r="G5027" s="22" t="s">
        <v>5387</v>
      </c>
      <c r="H5027" s="23" t="s">
        <v>5388</v>
      </c>
      <c r="I5027" s="24" t="s">
        <v>36</v>
      </c>
      <c r="J5027" s="32"/>
      <c r="K5027" s="10"/>
      <c r="L5027" s="32"/>
      <c r="M5027" s="10"/>
      <c r="N5027" s="33"/>
      <c r="O5027" s="11">
        <f>SUM(O5028:O5028)</f>
        <v>2</v>
      </c>
      <c r="P5027" s="185"/>
    </row>
    <row r="5028" spans="1:16" hidden="1" outlineLevel="1">
      <c r="E5028" s="59"/>
      <c r="F5028" s="60"/>
      <c r="G5028" s="34"/>
      <c r="H5028" s="30" t="s">
        <v>5297</v>
      </c>
      <c r="I5028" s="35"/>
      <c r="J5028" s="41"/>
      <c r="K5028" s="10"/>
      <c r="L5028" s="32"/>
      <c r="M5028" s="10"/>
      <c r="N5028" s="33">
        <v>2</v>
      </c>
      <c r="O5028" s="31">
        <f>ROUND(PRODUCT(J5028:N5028),2)</f>
        <v>2</v>
      </c>
      <c r="P5028" s="185"/>
    </row>
    <row r="5029" spans="1:16" hidden="1" outlineLevel="1">
      <c r="A5029" s="2">
        <v>11</v>
      </c>
      <c r="B5029" s="2">
        <v>3</v>
      </c>
      <c r="C5029" s="2">
        <f>C5027+1</f>
        <v>38</v>
      </c>
      <c r="E5029" s="20" t="str">
        <f>CONCATENATE(A5029,".",B5029,".",C5029)</f>
        <v>11.3.38</v>
      </c>
      <c r="F5029" s="21" t="s">
        <v>5389</v>
      </c>
      <c r="G5029" s="22" t="s">
        <v>5390</v>
      </c>
      <c r="H5029" s="23" t="s">
        <v>5391</v>
      </c>
      <c r="I5029" s="24" t="s">
        <v>36</v>
      </c>
      <c r="J5029" s="32"/>
      <c r="K5029" s="10"/>
      <c r="L5029" s="32"/>
      <c r="M5029" s="10"/>
      <c r="N5029" s="33"/>
      <c r="O5029" s="11">
        <f>SUM(O5030:O5030)</f>
        <v>1</v>
      </c>
      <c r="P5029" s="185"/>
    </row>
    <row r="5030" spans="1:16" hidden="1" outlineLevel="1">
      <c r="E5030" s="59"/>
      <c r="F5030" s="60"/>
      <c r="G5030" s="34"/>
      <c r="H5030" s="30" t="s">
        <v>5295</v>
      </c>
      <c r="I5030" s="35"/>
      <c r="J5030" s="41"/>
      <c r="K5030" s="10"/>
      <c r="L5030" s="32"/>
      <c r="M5030" s="10"/>
      <c r="N5030" s="33">
        <v>1</v>
      </c>
      <c r="O5030" s="31">
        <f>ROUND(PRODUCT(J5030:N5030),2)</f>
        <v>1</v>
      </c>
      <c r="P5030" s="185"/>
    </row>
    <row r="5031" spans="1:16" hidden="1" outlineLevel="1">
      <c r="A5031" s="2">
        <v>11</v>
      </c>
      <c r="B5031" s="2">
        <v>3</v>
      </c>
      <c r="C5031" s="2">
        <f>C5029+1</f>
        <v>39</v>
      </c>
      <c r="E5031" s="20" t="str">
        <f>CONCATENATE(A5031,".",B5031,".",C5031)</f>
        <v>11.3.39</v>
      </c>
      <c r="F5031" s="21" t="s">
        <v>5392</v>
      </c>
      <c r="G5031" s="22" t="s">
        <v>5393</v>
      </c>
      <c r="H5031" s="23" t="s">
        <v>5394</v>
      </c>
      <c r="I5031" s="24" t="s">
        <v>36</v>
      </c>
      <c r="J5031" s="32"/>
      <c r="K5031" s="10"/>
      <c r="L5031" s="32"/>
      <c r="M5031" s="10"/>
      <c r="N5031" s="33"/>
      <c r="O5031" s="11">
        <f>SUM(O5032:O5032)</f>
        <v>1</v>
      </c>
      <c r="P5031" s="185"/>
    </row>
    <row r="5032" spans="1:16" hidden="1" outlineLevel="1">
      <c r="E5032" s="59"/>
      <c r="F5032" s="60"/>
      <c r="G5032" s="34"/>
      <c r="H5032" s="30" t="s">
        <v>5295</v>
      </c>
      <c r="I5032" s="35"/>
      <c r="J5032" s="41"/>
      <c r="K5032" s="10"/>
      <c r="L5032" s="32"/>
      <c r="M5032" s="10"/>
      <c r="N5032" s="33">
        <v>1</v>
      </c>
      <c r="O5032" s="31">
        <f>ROUND(PRODUCT(J5032:N5032),2)</f>
        <v>1</v>
      </c>
      <c r="P5032" s="185"/>
    </row>
    <row r="5033" spans="1:16" hidden="1" outlineLevel="1">
      <c r="A5033" s="2">
        <v>11</v>
      </c>
      <c r="B5033" s="2">
        <v>3</v>
      </c>
      <c r="C5033" s="2">
        <f>C5031+1</f>
        <v>40</v>
      </c>
      <c r="E5033" s="20" t="str">
        <f>CONCATENATE(A5033,".",B5033,".",C5033)</f>
        <v>11.3.40</v>
      </c>
      <c r="F5033" s="21" t="s">
        <v>5395</v>
      </c>
      <c r="G5033" s="22" t="s">
        <v>5396</v>
      </c>
      <c r="H5033" s="23" t="s">
        <v>5397</v>
      </c>
      <c r="I5033" s="24" t="s">
        <v>144</v>
      </c>
      <c r="J5033" s="32"/>
      <c r="K5033" s="10"/>
      <c r="L5033" s="32"/>
      <c r="M5033" s="10"/>
      <c r="N5033" s="33"/>
      <c r="O5033" s="11">
        <f>SUM(O5034:O5037)</f>
        <v>72</v>
      </c>
      <c r="P5033" s="185"/>
    </row>
    <row r="5034" spans="1:16" hidden="1" outlineLevel="1">
      <c r="E5034" s="59"/>
      <c r="F5034" s="60"/>
      <c r="G5034" s="34"/>
      <c r="H5034" s="30" t="s">
        <v>5296</v>
      </c>
      <c r="I5034" s="35"/>
      <c r="J5034" s="41"/>
      <c r="K5034" s="10"/>
      <c r="L5034" s="32"/>
      <c r="M5034" s="10"/>
      <c r="N5034" s="33">
        <v>13.5</v>
      </c>
      <c r="O5034" s="31">
        <f>ROUND(PRODUCT(J5034:N5034),2)</f>
        <v>13.5</v>
      </c>
      <c r="P5034" s="185"/>
    </row>
    <row r="5035" spans="1:16" hidden="1" outlineLevel="1">
      <c r="E5035" s="59"/>
      <c r="F5035" s="60"/>
      <c r="G5035" s="34"/>
      <c r="H5035" s="30" t="s">
        <v>5301</v>
      </c>
      <c r="I5035" s="35"/>
      <c r="J5035" s="41"/>
      <c r="K5035" s="10"/>
      <c r="L5035" s="32"/>
      <c r="M5035" s="10"/>
      <c r="N5035" s="33">
        <v>18</v>
      </c>
      <c r="O5035" s="31">
        <f>ROUND(PRODUCT(J5035:N5035),2)</f>
        <v>18</v>
      </c>
      <c r="P5035" s="185"/>
    </row>
    <row r="5036" spans="1:16" hidden="1" outlineLevel="1">
      <c r="E5036" s="59"/>
      <c r="F5036" s="60"/>
      <c r="G5036" s="34"/>
      <c r="H5036" s="30" t="s">
        <v>5300</v>
      </c>
      <c r="I5036" s="35"/>
      <c r="J5036" s="41"/>
      <c r="K5036" s="10"/>
      <c r="L5036" s="32"/>
      <c r="M5036" s="10"/>
      <c r="N5036" s="33">
        <v>36</v>
      </c>
      <c r="O5036" s="31">
        <f>ROUND(PRODUCT(J5036:N5036),2)</f>
        <v>36</v>
      </c>
      <c r="P5036" s="185"/>
    </row>
    <row r="5037" spans="1:16" hidden="1" outlineLevel="1">
      <c r="E5037" s="59"/>
      <c r="F5037" s="60"/>
      <c r="G5037" s="34"/>
      <c r="H5037" s="30" t="s">
        <v>5297</v>
      </c>
      <c r="I5037" s="35"/>
      <c r="J5037" s="41"/>
      <c r="K5037" s="10"/>
      <c r="L5037" s="32"/>
      <c r="M5037" s="10"/>
      <c r="N5037" s="33">
        <v>4.5</v>
      </c>
      <c r="O5037" s="31">
        <f>ROUND(PRODUCT(J5037:N5037),2)</f>
        <v>4.5</v>
      </c>
      <c r="P5037" s="185"/>
    </row>
    <row r="5038" spans="1:16" ht="30" hidden="1" outlineLevel="1">
      <c r="A5038" s="2">
        <v>11</v>
      </c>
      <c r="B5038" s="2">
        <v>3</v>
      </c>
      <c r="C5038" s="2">
        <f>C5033+1</f>
        <v>41</v>
      </c>
      <c r="E5038" s="20" t="str">
        <f>CONCATENATE(A5038,".",B5038,".",C5038)</f>
        <v>11.3.41</v>
      </c>
      <c r="F5038" s="21" t="s">
        <v>5398</v>
      </c>
      <c r="G5038" s="22">
        <v>104751</v>
      </c>
      <c r="H5038" s="23" t="s">
        <v>5313</v>
      </c>
      <c r="I5038" s="24" t="s">
        <v>36</v>
      </c>
      <c r="J5038" s="32"/>
      <c r="K5038" s="10"/>
      <c r="L5038" s="32"/>
      <c r="M5038" s="10"/>
      <c r="N5038" s="33"/>
      <c r="O5038" s="11">
        <f>SUM(O5039:O5042)</f>
        <v>24</v>
      </c>
      <c r="P5038" s="185"/>
    </row>
    <row r="5039" spans="1:16" hidden="1" outlineLevel="1">
      <c r="E5039" s="59"/>
      <c r="F5039" s="60"/>
      <c r="G5039" s="34"/>
      <c r="H5039" s="30" t="s">
        <v>5301</v>
      </c>
      <c r="I5039" s="35"/>
      <c r="J5039" s="41"/>
      <c r="K5039" s="10"/>
      <c r="L5039" s="32"/>
      <c r="M5039" s="10"/>
      <c r="N5039" s="33">
        <v>3</v>
      </c>
      <c r="O5039" s="31">
        <f>ROUND(PRODUCT(J5039:N5039),2)</f>
        <v>3</v>
      </c>
      <c r="P5039" s="185"/>
    </row>
    <row r="5040" spans="1:16" hidden="1" outlineLevel="1">
      <c r="E5040" s="59"/>
      <c r="F5040" s="60"/>
      <c r="G5040" s="34"/>
      <c r="H5040" s="30" t="s">
        <v>5296</v>
      </c>
      <c r="I5040" s="35"/>
      <c r="J5040" s="41"/>
      <c r="K5040" s="10"/>
      <c r="L5040" s="32"/>
      <c r="M5040" s="10"/>
      <c r="N5040" s="33">
        <v>3</v>
      </c>
      <c r="O5040" s="31">
        <f>ROUND(PRODUCT(J5040:N5040),2)</f>
        <v>3</v>
      </c>
      <c r="P5040" s="185"/>
    </row>
    <row r="5041" spans="1:16" hidden="1" outlineLevel="1">
      <c r="E5041" s="59"/>
      <c r="F5041" s="60"/>
      <c r="G5041" s="34"/>
      <c r="H5041" s="30" t="s">
        <v>5303</v>
      </c>
      <c r="I5041" s="35"/>
      <c r="J5041" s="41"/>
      <c r="K5041" s="10"/>
      <c r="L5041" s="32"/>
      <c r="M5041" s="10"/>
      <c r="N5041" s="33">
        <v>4</v>
      </c>
      <c r="O5041" s="31">
        <f>ROUND(PRODUCT(J5041:N5041),2)</f>
        <v>4</v>
      </c>
      <c r="P5041" s="185"/>
    </row>
    <row r="5042" spans="1:16" hidden="1" outlineLevel="1">
      <c r="E5042" s="59"/>
      <c r="F5042" s="60"/>
      <c r="G5042" s="34"/>
      <c r="H5042" s="30" t="s">
        <v>5302</v>
      </c>
      <c r="I5042" s="35"/>
      <c r="J5042" s="41"/>
      <c r="K5042" s="10"/>
      <c r="L5042" s="32"/>
      <c r="M5042" s="10"/>
      <c r="N5042" s="33">
        <v>14</v>
      </c>
      <c r="O5042" s="31">
        <f>ROUND(PRODUCT(J5042:N5042),2)</f>
        <v>14</v>
      </c>
      <c r="P5042" s="185"/>
    </row>
    <row r="5043" spans="1:16" ht="45" hidden="1" outlineLevel="1">
      <c r="A5043" s="2">
        <v>11</v>
      </c>
      <c r="B5043" s="2">
        <v>3</v>
      </c>
      <c r="C5043" s="2">
        <f>C5038+1</f>
        <v>42</v>
      </c>
      <c r="E5043" s="20" t="str">
        <f>CONCATENATE(A5043,".",B5043,".",C5043)</f>
        <v>11.3.42</v>
      </c>
      <c r="F5043" s="21" t="s">
        <v>5399</v>
      </c>
      <c r="G5043" s="22">
        <v>104750</v>
      </c>
      <c r="H5043" s="23" t="s">
        <v>5305</v>
      </c>
      <c r="I5043" s="24" t="s">
        <v>36</v>
      </c>
      <c r="J5043" s="32"/>
      <c r="K5043" s="10"/>
      <c r="L5043" s="32"/>
      <c r="M5043" s="10"/>
      <c r="N5043" s="33"/>
      <c r="O5043" s="11">
        <f>SUM(O5044:O5048)</f>
        <v>53</v>
      </c>
      <c r="P5043" s="185"/>
    </row>
    <row r="5044" spans="1:16" hidden="1" outlineLevel="1">
      <c r="E5044" s="59"/>
      <c r="F5044" s="60"/>
      <c r="G5044" s="34"/>
      <c r="H5044" s="30" t="s">
        <v>5301</v>
      </c>
      <c r="I5044" s="35"/>
      <c r="J5044" s="41"/>
      <c r="K5044" s="10"/>
      <c r="L5044" s="32"/>
      <c r="M5044" s="10"/>
      <c r="N5044" s="33">
        <v>9</v>
      </c>
      <c r="O5044" s="31">
        <f t="shared" ref="O5044:O5049" si="111">ROUND(PRODUCT(J5044:N5044),2)</f>
        <v>9</v>
      </c>
      <c r="P5044" s="185"/>
    </row>
    <row r="5045" spans="1:16" hidden="1" outlineLevel="1">
      <c r="E5045" s="59"/>
      <c r="F5045" s="60"/>
      <c r="G5045" s="34"/>
      <c r="H5045" s="30" t="s">
        <v>5300</v>
      </c>
      <c r="I5045" s="35"/>
      <c r="J5045" s="41"/>
      <c r="K5045" s="10"/>
      <c r="L5045" s="32"/>
      <c r="M5045" s="10"/>
      <c r="N5045" s="33">
        <v>6</v>
      </c>
      <c r="O5045" s="31">
        <f t="shared" si="111"/>
        <v>6</v>
      </c>
      <c r="P5045" s="185"/>
    </row>
    <row r="5046" spans="1:16" hidden="1" outlineLevel="1">
      <c r="E5046" s="59"/>
      <c r="F5046" s="60"/>
      <c r="G5046" s="34"/>
      <c r="H5046" s="30" t="s">
        <v>5297</v>
      </c>
      <c r="I5046" s="35"/>
      <c r="J5046" s="41"/>
      <c r="K5046" s="10"/>
      <c r="L5046" s="32"/>
      <c r="M5046" s="10"/>
      <c r="N5046" s="33">
        <v>4</v>
      </c>
      <c r="O5046" s="31">
        <f t="shared" si="111"/>
        <v>4</v>
      </c>
      <c r="P5046" s="185"/>
    </row>
    <row r="5047" spans="1:16" hidden="1" outlineLevel="1">
      <c r="E5047" s="59"/>
      <c r="F5047" s="60"/>
      <c r="G5047" s="34"/>
      <c r="H5047" s="30" t="s">
        <v>5303</v>
      </c>
      <c r="I5047" s="35"/>
      <c r="J5047" s="41"/>
      <c r="K5047" s="10"/>
      <c r="L5047" s="32"/>
      <c r="M5047" s="10"/>
      <c r="N5047" s="33">
        <v>6</v>
      </c>
      <c r="O5047" s="31">
        <f t="shared" si="111"/>
        <v>6</v>
      </c>
      <c r="P5047" s="185"/>
    </row>
    <row r="5048" spans="1:16" hidden="1" outlineLevel="1">
      <c r="E5048" s="59"/>
      <c r="F5048" s="60"/>
      <c r="G5048" s="34"/>
      <c r="H5048" s="30" t="s">
        <v>5302</v>
      </c>
      <c r="I5048" s="35"/>
      <c r="J5048" s="41"/>
      <c r="K5048" s="10"/>
      <c r="L5048" s="32"/>
      <c r="M5048" s="10"/>
      <c r="N5048" s="33">
        <v>28</v>
      </c>
      <c r="O5048" s="31">
        <f t="shared" si="111"/>
        <v>28</v>
      </c>
      <c r="P5048" s="185"/>
    </row>
    <row r="5049" spans="1:16" hidden="1" outlineLevel="1">
      <c r="E5049" s="59"/>
      <c r="F5049" s="60"/>
      <c r="G5049" s="34"/>
      <c r="H5049" s="30" t="s">
        <v>5297</v>
      </c>
      <c r="I5049" s="35"/>
      <c r="J5049" s="41"/>
      <c r="K5049" s="10"/>
      <c r="L5049" s="32"/>
      <c r="M5049" s="10"/>
      <c r="N5049" s="33">
        <v>2</v>
      </c>
      <c r="O5049" s="31">
        <f t="shared" si="111"/>
        <v>2</v>
      </c>
      <c r="P5049" s="185"/>
    </row>
    <row r="5050" spans="1:16" hidden="1" outlineLevel="1">
      <c r="A5050" s="2">
        <v>11</v>
      </c>
      <c r="B5050" s="2">
        <v>3</v>
      </c>
      <c r="C5050" s="2" t="e">
        <f>#REF!+1</f>
        <v>#REF!</v>
      </c>
      <c r="E5050" s="20" t="e">
        <f>CONCATENATE(A5050,".",B5050,".",C5050)</f>
        <v>#REF!</v>
      </c>
      <c r="F5050" s="21" t="s">
        <v>5400</v>
      </c>
      <c r="G5050" s="22" t="s">
        <v>5401</v>
      </c>
      <c r="H5050" s="23" t="s">
        <v>5402</v>
      </c>
      <c r="I5050" s="24" t="s">
        <v>36</v>
      </c>
      <c r="J5050" s="32"/>
      <c r="K5050" s="10"/>
      <c r="L5050" s="32"/>
      <c r="M5050" s="10"/>
      <c r="N5050" s="33"/>
      <c r="O5050" s="11">
        <f>SUM(O5051:O5053)</f>
        <v>43</v>
      </c>
      <c r="P5050" s="185"/>
    </row>
    <row r="5051" spans="1:16" hidden="1" outlineLevel="1">
      <c r="E5051" s="59"/>
      <c r="F5051" s="60"/>
      <c r="G5051" s="34"/>
      <c r="H5051" s="30"/>
      <c r="I5051" s="35"/>
      <c r="J5051" s="41"/>
      <c r="K5051" s="10"/>
      <c r="L5051" s="32"/>
      <c r="M5051" s="10"/>
      <c r="N5051" s="33"/>
      <c r="O5051" s="31">
        <v>3</v>
      </c>
      <c r="P5051" s="185"/>
    </row>
    <row r="5052" spans="1:16" hidden="1" outlineLevel="1">
      <c r="E5052" s="59"/>
      <c r="F5052" s="60"/>
      <c r="G5052" s="34"/>
      <c r="H5052" s="30" t="s">
        <v>5296</v>
      </c>
      <c r="I5052" s="35"/>
      <c r="J5052" s="41"/>
      <c r="K5052" s="10"/>
      <c r="L5052" s="32"/>
      <c r="M5052" s="10"/>
      <c r="N5052" s="33">
        <v>12</v>
      </c>
      <c r="O5052" s="31">
        <f>ROUND(PRODUCT(J5052:N5052),2)</f>
        <v>12</v>
      </c>
      <c r="P5052" s="185"/>
    </row>
    <row r="5053" spans="1:16" hidden="1" outlineLevel="1">
      <c r="E5053" s="59"/>
      <c r="F5053" s="60"/>
      <c r="G5053" s="34"/>
      <c r="H5053" s="30" t="s">
        <v>5302</v>
      </c>
      <c r="I5053" s="35"/>
      <c r="J5053" s="41"/>
      <c r="K5053" s="10"/>
      <c r="L5053" s="32"/>
      <c r="M5053" s="10"/>
      <c r="N5053" s="33">
        <v>28</v>
      </c>
      <c r="O5053" s="31">
        <f>ROUND(PRODUCT(J5053:N5053),2)</f>
        <v>28</v>
      </c>
      <c r="P5053" s="185"/>
    </row>
    <row r="5054" spans="1:16" hidden="1" outlineLevel="1">
      <c r="A5054" s="2">
        <v>11</v>
      </c>
      <c r="B5054" s="2">
        <v>3</v>
      </c>
      <c r="C5054" s="2" t="e">
        <f>C5050+1</f>
        <v>#REF!</v>
      </c>
      <c r="E5054" s="20" t="e">
        <f>CONCATENATE(A5054,".",B5054,".",C5054)</f>
        <v>#REF!</v>
      </c>
      <c r="F5054" s="21" t="s">
        <v>5403</v>
      </c>
      <c r="G5054" s="22" t="s">
        <v>5404</v>
      </c>
      <c r="H5054" s="23" t="s">
        <v>5405</v>
      </c>
      <c r="I5054" s="24" t="s">
        <v>36</v>
      </c>
      <c r="J5054" s="32"/>
      <c r="K5054" s="10"/>
      <c r="L5054" s="32"/>
      <c r="M5054" s="10"/>
      <c r="N5054" s="33"/>
      <c r="O5054" s="11">
        <f>SUM(O5055:O5055)</f>
        <v>7</v>
      </c>
      <c r="P5054" s="185"/>
    </row>
    <row r="5055" spans="1:16" hidden="1" outlineLevel="1">
      <c r="E5055" s="59"/>
      <c r="F5055" s="60"/>
      <c r="G5055" s="34"/>
      <c r="H5055" s="30" t="s">
        <v>5302</v>
      </c>
      <c r="I5055" s="35"/>
      <c r="J5055" s="41"/>
      <c r="K5055" s="10"/>
      <c r="L5055" s="32"/>
      <c r="M5055" s="10"/>
      <c r="N5055" s="33">
        <v>7</v>
      </c>
      <c r="O5055" s="31">
        <f>ROUND(PRODUCT(J5055:N5055),2)</f>
        <v>7</v>
      </c>
      <c r="P5055" s="185"/>
    </row>
    <row r="5056" spans="1:16" hidden="1" outlineLevel="1">
      <c r="A5056" s="2">
        <v>11</v>
      </c>
      <c r="B5056" s="2">
        <v>3</v>
      </c>
      <c r="C5056" s="2" t="e">
        <f>C5054+1</f>
        <v>#REF!</v>
      </c>
      <c r="E5056" s="20" t="e">
        <f>CONCATENATE(A5056,".",B5056,".",C5056)</f>
        <v>#REF!</v>
      </c>
      <c r="F5056" s="21" t="s">
        <v>5406</v>
      </c>
      <c r="G5056" s="22" t="s">
        <v>5407</v>
      </c>
      <c r="H5056" s="23" t="s">
        <v>5408</v>
      </c>
      <c r="I5056" s="24" t="s">
        <v>36</v>
      </c>
      <c r="J5056" s="32"/>
      <c r="K5056" s="10"/>
      <c r="L5056" s="32"/>
      <c r="M5056" s="10"/>
      <c r="N5056" s="33"/>
      <c r="O5056" s="11">
        <f>SUM(O5057:O5058)</f>
        <v>12</v>
      </c>
      <c r="P5056" s="185"/>
    </row>
    <row r="5057" spans="1:16" hidden="1" outlineLevel="1">
      <c r="E5057" s="59"/>
      <c r="F5057" s="60"/>
      <c r="G5057" s="34"/>
      <c r="H5057" s="30" t="s">
        <v>5296</v>
      </c>
      <c r="I5057" s="35"/>
      <c r="J5057" s="41"/>
      <c r="K5057" s="10"/>
      <c r="L5057" s="32"/>
      <c r="M5057" s="10"/>
      <c r="N5057" s="33">
        <v>9</v>
      </c>
      <c r="O5057" s="31">
        <f>ROUND(PRODUCT(J5057:N5057),2)</f>
        <v>9</v>
      </c>
      <c r="P5057" s="185"/>
    </row>
    <row r="5058" spans="1:16" hidden="1" outlineLevel="1">
      <c r="E5058" s="59"/>
      <c r="F5058" s="60"/>
      <c r="G5058" s="34"/>
      <c r="H5058" s="30" t="s">
        <v>5297</v>
      </c>
      <c r="I5058" s="35"/>
      <c r="J5058" s="41"/>
      <c r="K5058" s="10"/>
      <c r="L5058" s="32"/>
      <c r="M5058" s="10"/>
      <c r="N5058" s="33">
        <v>3</v>
      </c>
      <c r="O5058" s="31">
        <f>ROUND(PRODUCT(J5058:N5058),2)</f>
        <v>3</v>
      </c>
      <c r="P5058" s="185"/>
    </row>
    <row r="5059" spans="1:16" hidden="1" outlineLevel="1">
      <c r="A5059" s="2">
        <v>11</v>
      </c>
      <c r="B5059" s="2">
        <v>3</v>
      </c>
      <c r="C5059" s="2" t="e">
        <f>C5056+1</f>
        <v>#REF!</v>
      </c>
      <c r="E5059" s="20" t="e">
        <f>CONCATENATE(A5059,".",B5059,".",C5059)</f>
        <v>#REF!</v>
      </c>
      <c r="F5059" s="21" t="s">
        <v>5409</v>
      </c>
      <c r="G5059" s="22" t="s">
        <v>5410</v>
      </c>
      <c r="H5059" s="23" t="s">
        <v>5411</v>
      </c>
      <c r="I5059" s="24" t="s">
        <v>36</v>
      </c>
      <c r="J5059" s="32"/>
      <c r="K5059" s="10"/>
      <c r="L5059" s="32"/>
      <c r="M5059" s="10"/>
      <c r="N5059" s="33"/>
      <c r="O5059" s="11">
        <f>SUM(O5060:O5060)</f>
        <v>1</v>
      </c>
      <c r="P5059" s="185"/>
    </row>
    <row r="5060" spans="1:16" hidden="1" outlineLevel="1">
      <c r="E5060" s="59"/>
      <c r="F5060" s="60"/>
      <c r="G5060" s="34"/>
      <c r="H5060" s="30" t="s">
        <v>5297</v>
      </c>
      <c r="I5060" s="35"/>
      <c r="J5060" s="41"/>
      <c r="K5060" s="10"/>
      <c r="L5060" s="32"/>
      <c r="M5060" s="10"/>
      <c r="N5060" s="33">
        <v>1</v>
      </c>
      <c r="O5060" s="31">
        <f>ROUND(PRODUCT(J5060:N5060),2)</f>
        <v>1</v>
      </c>
      <c r="P5060" s="185"/>
    </row>
    <row r="5061" spans="1:16" hidden="1" outlineLevel="1">
      <c r="A5061" s="2">
        <v>11</v>
      </c>
      <c r="B5061" s="2">
        <v>3</v>
      </c>
      <c r="C5061" s="2" t="e">
        <f>C5059+1</f>
        <v>#REF!</v>
      </c>
      <c r="E5061" s="20" t="e">
        <f>CONCATENATE(A5061,".",B5061,".",C5061)</f>
        <v>#REF!</v>
      </c>
      <c r="F5061" s="21" t="s">
        <v>5412</v>
      </c>
      <c r="G5061" s="22" t="s">
        <v>5413</v>
      </c>
      <c r="H5061" s="23" t="s">
        <v>5414</v>
      </c>
      <c r="I5061" s="24" t="s">
        <v>36</v>
      </c>
      <c r="J5061" s="32"/>
      <c r="K5061" s="10"/>
      <c r="L5061" s="32"/>
      <c r="M5061" s="10"/>
      <c r="N5061" s="33"/>
      <c r="O5061" s="11">
        <f>SUM(O5062:O5062)</f>
        <v>4</v>
      </c>
      <c r="P5061" s="185"/>
    </row>
    <row r="5062" spans="1:16" hidden="1" outlineLevel="1">
      <c r="E5062" s="59"/>
      <c r="F5062" s="60"/>
      <c r="G5062" s="34"/>
      <c r="H5062" s="30" t="s">
        <v>5297</v>
      </c>
      <c r="I5062" s="35"/>
      <c r="J5062" s="41"/>
      <c r="K5062" s="10"/>
      <c r="L5062" s="32"/>
      <c r="M5062" s="10"/>
      <c r="N5062" s="33">
        <v>4</v>
      </c>
      <c r="O5062" s="31">
        <f>ROUND(PRODUCT(J5062:N5062),2)</f>
        <v>4</v>
      </c>
      <c r="P5062" s="185"/>
    </row>
    <row r="5063" spans="1:16" hidden="1" outlineLevel="1">
      <c r="A5063" s="2">
        <v>11</v>
      </c>
      <c r="B5063" s="2">
        <v>3</v>
      </c>
      <c r="C5063" s="2" t="e">
        <f>C5061+1</f>
        <v>#REF!</v>
      </c>
      <c r="E5063" s="20" t="e">
        <f>CONCATENATE(A5063,".",B5063,".",C5063)</f>
        <v>#REF!</v>
      </c>
      <c r="F5063" s="21" t="s">
        <v>5415</v>
      </c>
      <c r="G5063" s="22" t="s">
        <v>5401</v>
      </c>
      <c r="H5063" s="23" t="s">
        <v>5402</v>
      </c>
      <c r="I5063" s="24" t="s">
        <v>36</v>
      </c>
      <c r="J5063" s="32"/>
      <c r="K5063" s="10"/>
      <c r="L5063" s="32"/>
      <c r="M5063" s="10"/>
      <c r="N5063" s="33"/>
      <c r="O5063" s="11">
        <f>SUM(O5064:O5068)</f>
        <v>31</v>
      </c>
      <c r="P5063" s="185"/>
    </row>
    <row r="5064" spans="1:16" hidden="1" outlineLevel="1">
      <c r="E5064" s="59"/>
      <c r="F5064" s="60"/>
      <c r="G5064" s="34"/>
      <c r="H5064" s="30" t="s">
        <v>5301</v>
      </c>
      <c r="I5064" s="35"/>
      <c r="J5064" s="41"/>
      <c r="K5064" s="10"/>
      <c r="L5064" s="32"/>
      <c r="M5064" s="10"/>
      <c r="N5064" s="33">
        <v>9</v>
      </c>
      <c r="O5064" s="31">
        <f>ROUND(PRODUCT(J5064:N5064),2)</f>
        <v>9</v>
      </c>
      <c r="P5064" s="185"/>
    </row>
    <row r="5065" spans="1:16" hidden="1" outlineLevel="1">
      <c r="E5065" s="59"/>
      <c r="F5065" s="60"/>
      <c r="G5065" s="34"/>
      <c r="H5065" s="30" t="s">
        <v>5300</v>
      </c>
      <c r="I5065" s="35"/>
      <c r="J5065" s="41"/>
      <c r="K5065" s="10"/>
      <c r="L5065" s="32"/>
      <c r="M5065" s="10"/>
      <c r="N5065" s="33">
        <v>12</v>
      </c>
      <c r="O5065" s="31">
        <f>ROUND(PRODUCT(J5065:N5065),2)</f>
        <v>12</v>
      </c>
      <c r="P5065" s="185"/>
    </row>
    <row r="5066" spans="1:16" hidden="1" outlineLevel="1">
      <c r="E5066" s="59"/>
      <c r="F5066" s="60"/>
      <c r="G5066" s="34"/>
      <c r="H5066" s="30" t="s">
        <v>5297</v>
      </c>
      <c r="I5066" s="35"/>
      <c r="J5066" s="41"/>
      <c r="K5066" s="10"/>
      <c r="L5066" s="32"/>
      <c r="M5066" s="10"/>
      <c r="N5066" s="33">
        <v>1</v>
      </c>
      <c r="O5066" s="31">
        <f>ROUND(PRODUCT(J5066:N5066),2)</f>
        <v>1</v>
      </c>
      <c r="P5066" s="185"/>
    </row>
    <row r="5067" spans="1:16" hidden="1" outlineLevel="1">
      <c r="E5067" s="59"/>
      <c r="F5067" s="60"/>
      <c r="G5067" s="34"/>
      <c r="H5067" s="30" t="s">
        <v>5303</v>
      </c>
      <c r="I5067" s="35"/>
      <c r="J5067" s="41"/>
      <c r="K5067" s="10"/>
      <c r="L5067" s="32"/>
      <c r="M5067" s="10"/>
      <c r="N5067" s="33">
        <v>2</v>
      </c>
      <c r="O5067" s="31">
        <f>ROUND(PRODUCT(J5067:N5067),2)</f>
        <v>2</v>
      </c>
      <c r="P5067" s="185"/>
    </row>
    <row r="5068" spans="1:16" hidden="1" outlineLevel="1">
      <c r="E5068" s="59"/>
      <c r="F5068" s="60"/>
      <c r="G5068" s="34"/>
      <c r="H5068" s="30" t="s">
        <v>5302</v>
      </c>
      <c r="I5068" s="35"/>
      <c r="J5068" s="41"/>
      <c r="K5068" s="10"/>
      <c r="L5068" s="32"/>
      <c r="M5068" s="10"/>
      <c r="N5068" s="33">
        <v>7</v>
      </c>
      <c r="O5068" s="31">
        <f>ROUND(PRODUCT(J5068:N5068),2)</f>
        <v>7</v>
      </c>
      <c r="P5068" s="185"/>
    </row>
    <row r="5069" spans="1:16" ht="30" hidden="1" outlineLevel="1">
      <c r="A5069" s="2">
        <v>11</v>
      </c>
      <c r="B5069" s="2">
        <v>3</v>
      </c>
      <c r="C5069" s="2" t="e">
        <f>C5063+1</f>
        <v>#REF!</v>
      </c>
      <c r="E5069" s="20" t="e">
        <f>CONCATENATE(A5069,".",B5069,".",C5069)</f>
        <v>#REF!</v>
      </c>
      <c r="F5069" s="21" t="s">
        <v>5416</v>
      </c>
      <c r="G5069" s="65">
        <v>102110</v>
      </c>
      <c r="H5069" s="23" t="s">
        <v>5417</v>
      </c>
      <c r="I5069" s="24" t="s">
        <v>36</v>
      </c>
      <c r="J5069" s="32"/>
      <c r="K5069" s="10"/>
      <c r="L5069" s="32"/>
      <c r="M5069" s="10"/>
      <c r="N5069" s="33"/>
      <c r="O5069" s="11">
        <f>SUM(O5070:O5071)</f>
        <v>20</v>
      </c>
      <c r="P5069" s="185"/>
    </row>
    <row r="5070" spans="1:16" hidden="1" outlineLevel="1">
      <c r="E5070" s="59"/>
      <c r="F5070" s="60"/>
      <c r="G5070" s="34"/>
      <c r="H5070" s="30" t="s">
        <v>5296</v>
      </c>
      <c r="I5070" s="35"/>
      <c r="J5070" s="41"/>
      <c r="K5070" s="10"/>
      <c r="L5070" s="32"/>
      <c r="M5070" s="10"/>
      <c r="N5070" s="33">
        <v>6</v>
      </c>
      <c r="O5070" s="31">
        <f>ROUND(PRODUCT(J5070:N5070),2)</f>
        <v>6</v>
      </c>
      <c r="P5070" s="185"/>
    </row>
    <row r="5071" spans="1:16" hidden="1" outlineLevel="1">
      <c r="E5071" s="59"/>
      <c r="F5071" s="60"/>
      <c r="G5071" s="34"/>
      <c r="H5071" s="30" t="s">
        <v>5302</v>
      </c>
      <c r="I5071" s="35"/>
      <c r="J5071" s="41"/>
      <c r="K5071" s="10"/>
      <c r="L5071" s="32"/>
      <c r="M5071" s="10"/>
      <c r="N5071" s="33">
        <v>14</v>
      </c>
      <c r="O5071" s="31">
        <f>ROUND(PRODUCT(J5071:N5071),2)</f>
        <v>14</v>
      </c>
      <c r="P5071" s="185"/>
    </row>
    <row r="5072" spans="1:16" hidden="1" outlineLevel="1">
      <c r="A5072" s="2">
        <v>11</v>
      </c>
      <c r="B5072" s="2">
        <v>3</v>
      </c>
      <c r="C5072" s="2" t="e">
        <f>C5069+1</f>
        <v>#REF!</v>
      </c>
      <c r="E5072" s="20" t="e">
        <f>CONCATENATE(A5072,".",B5072,".",C5072)</f>
        <v>#REF!</v>
      </c>
      <c r="F5072" s="21" t="s">
        <v>5418</v>
      </c>
      <c r="G5072" s="22" t="s">
        <v>5419</v>
      </c>
      <c r="H5072" s="23" t="s">
        <v>5420</v>
      </c>
      <c r="I5072" s="24" t="s">
        <v>36</v>
      </c>
      <c r="J5072" s="32"/>
      <c r="K5072" s="10"/>
      <c r="L5072" s="32"/>
      <c r="M5072" s="10"/>
      <c r="N5072" s="33"/>
      <c r="O5072" s="11">
        <f>SUM(O5073:O5074)</f>
        <v>4</v>
      </c>
      <c r="P5072" s="185"/>
    </row>
    <row r="5073" spans="1:17" hidden="1" outlineLevel="1">
      <c r="E5073" s="59"/>
      <c r="F5073" s="60"/>
      <c r="G5073" s="34"/>
      <c r="H5073" s="30" t="s">
        <v>5296</v>
      </c>
      <c r="I5073" s="35"/>
      <c r="J5073" s="41"/>
      <c r="K5073" s="10"/>
      <c r="L5073" s="32"/>
      <c r="M5073" s="10"/>
      <c r="N5073" s="33">
        <v>3</v>
      </c>
      <c r="O5073" s="31">
        <f>ROUND(PRODUCT(J5073:N5073),2)</f>
        <v>3</v>
      </c>
      <c r="P5073" s="185"/>
    </row>
    <row r="5074" spans="1:17" hidden="1" outlineLevel="1">
      <c r="E5074" s="59"/>
      <c r="F5074" s="60"/>
      <c r="G5074" s="34"/>
      <c r="H5074" s="30" t="s">
        <v>5297</v>
      </c>
      <c r="I5074" s="35"/>
      <c r="J5074" s="41"/>
      <c r="K5074" s="10"/>
      <c r="L5074" s="32"/>
      <c r="M5074" s="10"/>
      <c r="N5074" s="33">
        <v>1</v>
      </c>
      <c r="O5074" s="31">
        <f>ROUND(PRODUCT(J5074:N5074),2)</f>
        <v>1</v>
      </c>
      <c r="P5074" s="185"/>
    </row>
    <row r="5075" spans="1:17" hidden="1" outlineLevel="1">
      <c r="A5075" s="2">
        <v>11</v>
      </c>
      <c r="B5075" s="2">
        <v>3</v>
      </c>
      <c r="C5075" s="2" t="e">
        <f>C5072+1</f>
        <v>#REF!</v>
      </c>
      <c r="E5075" s="20" t="e">
        <f>CONCATENATE(A5075,".",B5075,".",C5075)</f>
        <v>#REF!</v>
      </c>
      <c r="F5075" s="21" t="s">
        <v>5421</v>
      </c>
      <c r="G5075" s="22" t="s">
        <v>5422</v>
      </c>
      <c r="H5075" s="23" t="s">
        <v>5423</v>
      </c>
      <c r="I5075" s="24" t="s">
        <v>36</v>
      </c>
      <c r="J5075" s="32"/>
      <c r="K5075" s="10"/>
      <c r="L5075" s="32"/>
      <c r="M5075" s="10"/>
      <c r="N5075" s="33"/>
      <c r="O5075" s="11">
        <f>SUM(O5076:O5078)</f>
        <v>36</v>
      </c>
      <c r="P5075" s="185"/>
    </row>
    <row r="5076" spans="1:17" hidden="1" outlineLevel="1">
      <c r="E5076" s="59"/>
      <c r="F5076" s="60"/>
      <c r="G5076" s="34"/>
      <c r="H5076" s="30" t="s">
        <v>5296</v>
      </c>
      <c r="I5076" s="35"/>
      <c r="J5076" s="41"/>
      <c r="K5076" s="10"/>
      <c r="L5076" s="32"/>
      <c r="M5076" s="10"/>
      <c r="N5076" s="33">
        <v>9</v>
      </c>
      <c r="O5076" s="31">
        <f>ROUND(PRODUCT(J5076:N5076),2)</f>
        <v>9</v>
      </c>
      <c r="P5076" s="185"/>
    </row>
    <row r="5077" spans="1:17" hidden="1" outlineLevel="1">
      <c r="E5077" s="59"/>
      <c r="F5077" s="60"/>
      <c r="G5077" s="34"/>
      <c r="H5077" s="30" t="s">
        <v>5303</v>
      </c>
      <c r="I5077" s="35"/>
      <c r="J5077" s="41"/>
      <c r="K5077" s="10"/>
      <c r="L5077" s="32"/>
      <c r="M5077" s="10"/>
      <c r="N5077" s="33">
        <v>6</v>
      </c>
      <c r="O5077" s="31">
        <f>ROUND(PRODUCT(J5077:N5077),2)</f>
        <v>6</v>
      </c>
      <c r="P5077" s="185"/>
    </row>
    <row r="5078" spans="1:17" hidden="1" outlineLevel="1">
      <c r="E5078" s="59"/>
      <c r="F5078" s="60"/>
      <c r="G5078" s="34"/>
      <c r="H5078" s="30" t="s">
        <v>5302</v>
      </c>
      <c r="I5078" s="35"/>
      <c r="J5078" s="41"/>
      <c r="K5078" s="10"/>
      <c r="L5078" s="32"/>
      <c r="M5078" s="10"/>
      <c r="N5078" s="33">
        <v>21</v>
      </c>
      <c r="O5078" s="31">
        <f>ROUND(PRODUCT(J5078:N5078),2)</f>
        <v>21</v>
      </c>
      <c r="P5078" s="185"/>
    </row>
    <row r="5079" spans="1:17" ht="45" hidden="1" outlineLevel="1">
      <c r="A5079" s="2">
        <v>11</v>
      </c>
      <c r="B5079" s="2">
        <v>3</v>
      </c>
      <c r="C5079" s="2" t="e">
        <f>C5075+1</f>
        <v>#REF!</v>
      </c>
      <c r="E5079" s="20" t="e">
        <f>CONCATENATE(A5079,".",B5079,".",C5079)</f>
        <v>#REF!</v>
      </c>
      <c r="F5079" s="21" t="s">
        <v>5424</v>
      </c>
      <c r="G5079" s="65">
        <v>102102</v>
      </c>
      <c r="H5079" s="23" t="s">
        <v>5321</v>
      </c>
      <c r="I5079" s="24" t="s">
        <v>36</v>
      </c>
      <c r="J5079" s="32"/>
      <c r="K5079" s="10"/>
      <c r="L5079" s="32"/>
      <c r="M5079" s="10"/>
      <c r="N5079" s="33"/>
      <c r="O5079" s="11">
        <f>SUM(O5080:O5080)</f>
        <v>1</v>
      </c>
      <c r="P5079" s="185"/>
    </row>
    <row r="5080" spans="1:17" hidden="1" outlineLevel="1">
      <c r="E5080" s="59"/>
      <c r="F5080" s="60"/>
      <c r="G5080" s="34"/>
      <c r="H5080" s="30" t="s">
        <v>5296</v>
      </c>
      <c r="I5080" s="35"/>
      <c r="J5080" s="41"/>
      <c r="K5080" s="10"/>
      <c r="L5080" s="32"/>
      <c r="M5080" s="10"/>
      <c r="N5080" s="33">
        <v>1</v>
      </c>
      <c r="O5080" s="31">
        <f>ROUND(PRODUCT(J5080:N5080),2)</f>
        <v>1</v>
      </c>
      <c r="P5080" s="185"/>
    </row>
    <row r="5081" spans="1:17" collapsed="1">
      <c r="A5081" s="2">
        <v>11</v>
      </c>
      <c r="B5081" s="2">
        <v>4</v>
      </c>
      <c r="E5081" s="42" t="str">
        <f>CONCATENATE(A5081,".",B5081)</f>
        <v>11.4</v>
      </c>
      <c r="F5081" s="45" t="s">
        <v>5425</v>
      </c>
      <c r="G5081" s="13"/>
      <c r="H5081" s="14" t="s">
        <v>5426</v>
      </c>
      <c r="I5081" s="15"/>
      <c r="J5081" s="16"/>
      <c r="K5081" s="17"/>
      <c r="L5081" s="16"/>
      <c r="M5081" s="17"/>
      <c r="N5081" s="18"/>
      <c r="O5081" s="19"/>
      <c r="P5081" s="185"/>
      <c r="Q5081" s="185"/>
    </row>
    <row r="5082" spans="1:17" ht="30" hidden="1" outlineLevel="1">
      <c r="A5082" s="2">
        <v>11</v>
      </c>
      <c r="B5082" s="2">
        <v>4</v>
      </c>
      <c r="C5082" s="2">
        <f>C5081+1</f>
        <v>1</v>
      </c>
      <c r="E5082" s="20" t="str">
        <f>CONCATENATE(A5082,".",B5082,".",C5082)</f>
        <v>11.4.1</v>
      </c>
      <c r="F5082" s="21" t="s">
        <v>5427</v>
      </c>
      <c r="G5082" s="22">
        <v>101553</v>
      </c>
      <c r="H5082" s="23" t="s">
        <v>5299</v>
      </c>
      <c r="I5082" s="24" t="s">
        <v>36</v>
      </c>
      <c r="J5082" s="32"/>
      <c r="K5082" s="10"/>
      <c r="L5082" s="32"/>
      <c r="M5082" s="10"/>
      <c r="N5082" s="33"/>
      <c r="O5082" s="11">
        <f>SUM(O5083)</f>
        <v>3</v>
      </c>
      <c r="P5082" s="185"/>
    </row>
    <row r="5083" spans="1:17" hidden="1" outlineLevel="1">
      <c r="E5083" s="59"/>
      <c r="F5083" s="60"/>
      <c r="G5083" s="34"/>
      <c r="H5083" s="30"/>
      <c r="I5083" s="35"/>
      <c r="J5083" s="41"/>
      <c r="K5083" s="10"/>
      <c r="L5083" s="32"/>
      <c r="M5083" s="10"/>
      <c r="N5083" s="33">
        <v>3</v>
      </c>
      <c r="O5083" s="31">
        <f>ROUND(PRODUCT(J5083:N5083),2)</f>
        <v>3</v>
      </c>
      <c r="P5083" s="185"/>
    </row>
    <row r="5084" spans="1:17" ht="30" hidden="1" outlineLevel="1">
      <c r="A5084" s="2">
        <v>11</v>
      </c>
      <c r="B5084" s="2">
        <v>4</v>
      </c>
      <c r="C5084" s="2">
        <f>C5082+1</f>
        <v>2</v>
      </c>
      <c r="E5084" s="20" t="str">
        <f>CONCATENATE(A5084,".",B5084,".",C5084)</f>
        <v>11.4.2</v>
      </c>
      <c r="F5084" s="21" t="s">
        <v>5428</v>
      </c>
      <c r="G5084" s="22">
        <v>92980</v>
      </c>
      <c r="H5084" s="23" t="s">
        <v>3734</v>
      </c>
      <c r="I5084" s="24" t="s">
        <v>144</v>
      </c>
      <c r="J5084" s="32"/>
      <c r="K5084" s="10"/>
      <c r="L5084" s="32"/>
      <c r="M5084" s="10"/>
      <c r="N5084" s="33"/>
      <c r="O5084" s="11">
        <f>SUM(O5085)</f>
        <v>6</v>
      </c>
      <c r="P5084" s="185"/>
    </row>
    <row r="5085" spans="1:17" hidden="1" outlineLevel="1">
      <c r="E5085" s="59"/>
      <c r="F5085" s="60"/>
      <c r="G5085" s="34"/>
      <c r="H5085" s="30"/>
      <c r="I5085" s="35"/>
      <c r="J5085" s="41"/>
      <c r="K5085" s="10"/>
      <c r="L5085" s="32"/>
      <c r="M5085" s="10"/>
      <c r="N5085" s="33">
        <v>6</v>
      </c>
      <c r="O5085" s="31">
        <f>ROUND(PRODUCT(J5085:N5085),2)</f>
        <v>6</v>
      </c>
      <c r="P5085" s="185"/>
    </row>
    <row r="5086" spans="1:17" ht="30" hidden="1" outlineLevel="1">
      <c r="A5086" s="2">
        <v>11</v>
      </c>
      <c r="B5086" s="2">
        <v>4</v>
      </c>
      <c r="C5086" s="2">
        <f>C5084+1</f>
        <v>3</v>
      </c>
      <c r="E5086" s="20" t="str">
        <f>CONCATENATE(A5086,".",B5086,".",C5086)</f>
        <v>11.4.3</v>
      </c>
      <c r="F5086" s="21" t="s">
        <v>5429</v>
      </c>
      <c r="G5086" s="22">
        <v>104751</v>
      </c>
      <c r="H5086" s="23" t="s">
        <v>5313</v>
      </c>
      <c r="I5086" s="24" t="s">
        <v>36</v>
      </c>
      <c r="J5086" s="32"/>
      <c r="K5086" s="10"/>
      <c r="L5086" s="32"/>
      <c r="M5086" s="10"/>
      <c r="N5086" s="33"/>
      <c r="O5086" s="11">
        <f>SUM(O5087)</f>
        <v>10</v>
      </c>
      <c r="P5086" s="185"/>
    </row>
    <row r="5087" spans="1:17" hidden="1" outlineLevel="1">
      <c r="E5087" s="59"/>
      <c r="F5087" s="60"/>
      <c r="G5087" s="34"/>
      <c r="H5087" s="30"/>
      <c r="I5087" s="35"/>
      <c r="J5087" s="41"/>
      <c r="K5087" s="10"/>
      <c r="L5087" s="32"/>
      <c r="M5087" s="10"/>
      <c r="N5087" s="33">
        <v>10</v>
      </c>
      <c r="O5087" s="31">
        <f>ROUND(PRODUCT(J5087:N5087),2)</f>
        <v>10</v>
      </c>
      <c r="P5087" s="185"/>
    </row>
    <row r="5088" spans="1:17" ht="30" hidden="1" outlineLevel="1">
      <c r="A5088" s="2">
        <v>11</v>
      </c>
      <c r="B5088" s="2">
        <v>4</v>
      </c>
      <c r="C5088" s="2">
        <f>C5086+1</f>
        <v>4</v>
      </c>
      <c r="E5088" s="20" t="str">
        <f>CONCATENATE(A5088,".",B5088,".",C5088)</f>
        <v>11.4.4</v>
      </c>
      <c r="F5088" s="21" t="s">
        <v>5430</v>
      </c>
      <c r="G5088" s="22">
        <v>97486</v>
      </c>
      <c r="H5088" s="23" t="s">
        <v>5431</v>
      </c>
      <c r="I5088" s="24" t="s">
        <v>36</v>
      </c>
      <c r="J5088" s="32"/>
      <c r="K5088" s="10"/>
      <c r="L5088" s="32"/>
      <c r="M5088" s="10"/>
      <c r="N5088" s="33"/>
      <c r="O5088" s="11">
        <f>SUM(O5089)</f>
        <v>2</v>
      </c>
      <c r="P5088" s="185"/>
    </row>
    <row r="5089" spans="1:16" hidden="1" outlineLevel="1">
      <c r="E5089" s="59"/>
      <c r="F5089" s="60"/>
      <c r="G5089" s="34"/>
      <c r="H5089" s="30"/>
      <c r="I5089" s="35"/>
      <c r="J5089" s="41"/>
      <c r="K5089" s="10"/>
      <c r="L5089" s="32"/>
      <c r="M5089" s="10"/>
      <c r="N5089" s="33">
        <v>2</v>
      </c>
      <c r="O5089" s="31">
        <f>ROUND(PRODUCT(J5089:N5089),2)</f>
        <v>2</v>
      </c>
      <c r="P5089" s="185"/>
    </row>
    <row r="5090" spans="1:16" ht="30" hidden="1" outlineLevel="1">
      <c r="A5090" s="2">
        <v>11</v>
      </c>
      <c r="B5090" s="2">
        <v>4</v>
      </c>
      <c r="C5090" s="2">
        <f>C5088+1</f>
        <v>5</v>
      </c>
      <c r="E5090" s="20" t="str">
        <f>CONCATENATE(A5090,".",B5090,".",C5090)</f>
        <v>11.4.5</v>
      </c>
      <c r="F5090" s="21" t="s">
        <v>5432</v>
      </c>
      <c r="G5090" s="22">
        <v>91862</v>
      </c>
      <c r="H5090" s="23" t="s">
        <v>5433</v>
      </c>
      <c r="I5090" s="24" t="s">
        <v>144</v>
      </c>
      <c r="J5090" s="32"/>
      <c r="K5090" s="10"/>
      <c r="L5090" s="32"/>
      <c r="M5090" s="10"/>
      <c r="N5090" s="33"/>
      <c r="O5090" s="11">
        <f>SUM(O5091)</f>
        <v>6</v>
      </c>
      <c r="P5090" s="185"/>
    </row>
    <row r="5091" spans="1:16" hidden="1" outlineLevel="1">
      <c r="E5091" s="59"/>
      <c r="F5091" s="60"/>
      <c r="G5091" s="34"/>
      <c r="H5091" s="30"/>
      <c r="I5091" s="35"/>
      <c r="J5091" s="41"/>
      <c r="K5091" s="10"/>
      <c r="L5091" s="32"/>
      <c r="M5091" s="10"/>
      <c r="N5091" s="33">
        <v>6</v>
      </c>
      <c r="O5091" s="31">
        <f>ROUND(PRODUCT(J5091:N5091),2)</f>
        <v>6</v>
      </c>
      <c r="P5091" s="185"/>
    </row>
    <row r="5092" spans="1:16" ht="30" hidden="1" outlineLevel="1">
      <c r="A5092" s="2">
        <v>11</v>
      </c>
      <c r="B5092" s="2">
        <v>4</v>
      </c>
      <c r="C5092" s="2">
        <f>C5090+1</f>
        <v>6</v>
      </c>
      <c r="E5092" s="20" t="str">
        <f>CONCATENATE(A5092,".",B5092,".",C5092)</f>
        <v>11.4.6</v>
      </c>
      <c r="F5092" s="21" t="s">
        <v>5434</v>
      </c>
      <c r="G5092" s="22">
        <v>91864</v>
      </c>
      <c r="H5092" s="23" t="s">
        <v>3374</v>
      </c>
      <c r="I5092" s="24" t="s">
        <v>144</v>
      </c>
      <c r="J5092" s="32"/>
      <c r="K5092" s="10"/>
      <c r="L5092" s="32"/>
      <c r="M5092" s="10"/>
      <c r="N5092" s="33"/>
      <c r="O5092" s="11">
        <f>SUM(O5093)</f>
        <v>3</v>
      </c>
      <c r="P5092" s="185"/>
    </row>
    <row r="5093" spans="1:16" hidden="1" outlineLevel="1">
      <c r="E5093" s="59"/>
      <c r="F5093" s="60"/>
      <c r="G5093" s="34"/>
      <c r="H5093" s="30"/>
      <c r="I5093" s="35"/>
      <c r="J5093" s="41"/>
      <c r="K5093" s="10"/>
      <c r="L5093" s="32"/>
      <c r="M5093" s="10"/>
      <c r="N5093" s="33">
        <v>3</v>
      </c>
      <c r="O5093" s="31">
        <f>ROUND(PRODUCT(J5093:N5093),2)</f>
        <v>3</v>
      </c>
      <c r="P5093" s="185"/>
    </row>
    <row r="5094" spans="1:16" ht="30" hidden="1" outlineLevel="1">
      <c r="A5094" s="2">
        <v>11</v>
      </c>
      <c r="B5094" s="2">
        <v>4</v>
      </c>
      <c r="C5094" s="2">
        <f>C5092+1</f>
        <v>7</v>
      </c>
      <c r="E5094" s="20" t="str">
        <f>CONCATENATE(A5094,".",B5094,".",C5094)</f>
        <v>11.4.7</v>
      </c>
      <c r="F5094" s="21" t="s">
        <v>5435</v>
      </c>
      <c r="G5094" s="22">
        <v>101907</v>
      </c>
      <c r="H5094" s="23" t="s">
        <v>2025</v>
      </c>
      <c r="I5094" s="24" t="s">
        <v>36</v>
      </c>
      <c r="J5094" s="32"/>
      <c r="K5094" s="10"/>
      <c r="L5094" s="32"/>
      <c r="M5094" s="10"/>
      <c r="N5094" s="33"/>
      <c r="O5094" s="11">
        <f>SUM(O5095)</f>
        <v>1</v>
      </c>
      <c r="P5094" s="185"/>
    </row>
    <row r="5095" spans="1:16" hidden="1" outlineLevel="1">
      <c r="E5095" s="59"/>
      <c r="F5095" s="60"/>
      <c r="G5095" s="34"/>
      <c r="H5095" s="30"/>
      <c r="I5095" s="35"/>
      <c r="J5095" s="41"/>
      <c r="K5095" s="10"/>
      <c r="L5095" s="32"/>
      <c r="M5095" s="10"/>
      <c r="N5095" s="33">
        <v>1</v>
      </c>
      <c r="O5095" s="31">
        <f>ROUND(PRODUCT(J5095:N5095),2)</f>
        <v>1</v>
      </c>
      <c r="P5095" s="185"/>
    </row>
    <row r="5096" spans="1:16" ht="45" hidden="1" outlineLevel="1">
      <c r="A5096" s="2">
        <v>11</v>
      </c>
      <c r="B5096" s="2">
        <v>4</v>
      </c>
      <c r="C5096" s="2">
        <f>C5094+1</f>
        <v>8</v>
      </c>
      <c r="E5096" s="20" t="str">
        <f>CONCATENATE(A5096,".",B5096,".",C5096)</f>
        <v>11.4.8</v>
      </c>
      <c r="F5096" s="21" t="s">
        <v>5436</v>
      </c>
      <c r="G5096" s="22">
        <v>94572</v>
      </c>
      <c r="H5096" s="23" t="s">
        <v>5437</v>
      </c>
      <c r="I5096" s="24" t="s">
        <v>45</v>
      </c>
      <c r="J5096" s="32"/>
      <c r="K5096" s="10"/>
      <c r="L5096" s="32"/>
      <c r="M5096" s="10"/>
      <c r="N5096" s="33"/>
      <c r="O5096" s="11">
        <f>SUM(O5097)</f>
        <v>1</v>
      </c>
      <c r="P5096" s="185"/>
    </row>
    <row r="5097" spans="1:16" hidden="1" outlineLevel="1">
      <c r="E5097" s="59"/>
      <c r="F5097" s="60"/>
      <c r="G5097" s="34"/>
      <c r="H5097" s="30"/>
      <c r="I5097" s="35"/>
      <c r="J5097" s="41"/>
      <c r="K5097" s="10"/>
      <c r="L5097" s="32"/>
      <c r="M5097" s="10"/>
      <c r="N5097" s="33">
        <v>1</v>
      </c>
      <c r="O5097" s="31">
        <f>ROUND(PRODUCT(J5097:N5097),2)</f>
        <v>1</v>
      </c>
      <c r="P5097" s="185"/>
    </row>
    <row r="5098" spans="1:16" ht="30" hidden="1" outlineLevel="1">
      <c r="A5098" s="2">
        <v>11</v>
      </c>
      <c r="B5098" s="2">
        <v>4</v>
      </c>
      <c r="C5098" s="2">
        <f>C5096+1</f>
        <v>9</v>
      </c>
      <c r="E5098" s="20" t="str">
        <f>CONCATENATE(A5098,".",B5098,".",C5098)</f>
        <v>11.4.9</v>
      </c>
      <c r="F5098" s="21" t="s">
        <v>5438</v>
      </c>
      <c r="G5098" s="22">
        <v>91876</v>
      </c>
      <c r="H5098" s="23" t="s">
        <v>549</v>
      </c>
      <c r="I5098" s="24" t="s">
        <v>36</v>
      </c>
      <c r="J5098" s="32"/>
      <c r="K5098" s="10"/>
      <c r="L5098" s="32"/>
      <c r="M5098" s="10"/>
      <c r="N5098" s="33"/>
      <c r="O5098" s="11">
        <f>SUM(O5099)</f>
        <v>3</v>
      </c>
      <c r="P5098" s="185"/>
    </row>
    <row r="5099" spans="1:16" hidden="1" outlineLevel="1">
      <c r="E5099" s="59"/>
      <c r="F5099" s="60"/>
      <c r="G5099" s="34"/>
      <c r="H5099" s="30"/>
      <c r="I5099" s="35"/>
      <c r="J5099" s="41"/>
      <c r="K5099" s="10"/>
      <c r="L5099" s="32"/>
      <c r="M5099" s="10"/>
      <c r="N5099" s="33">
        <v>3</v>
      </c>
      <c r="O5099" s="31">
        <f>ROUND(PRODUCT(J5099:N5099),2)</f>
        <v>3</v>
      </c>
      <c r="P5099" s="185"/>
    </row>
    <row r="5100" spans="1:16" ht="45" hidden="1" outlineLevel="1">
      <c r="A5100" s="2">
        <v>11</v>
      </c>
      <c r="B5100" s="2">
        <v>4</v>
      </c>
      <c r="C5100" s="2">
        <f>C5098+1</f>
        <v>10</v>
      </c>
      <c r="E5100" s="20" t="str">
        <f>CONCATENATE(A5100,".",B5100,".",C5100)</f>
        <v>11.4.10</v>
      </c>
      <c r="F5100" s="21" t="s">
        <v>5439</v>
      </c>
      <c r="G5100" s="22">
        <v>104750</v>
      </c>
      <c r="H5100" s="23" t="s">
        <v>5305</v>
      </c>
      <c r="I5100" s="24" t="s">
        <v>36</v>
      </c>
      <c r="J5100" s="32"/>
      <c r="K5100" s="10"/>
      <c r="L5100" s="32"/>
      <c r="M5100" s="10"/>
      <c r="N5100" s="33"/>
      <c r="O5100" s="11">
        <f>SUM(O5101)</f>
        <v>6</v>
      </c>
      <c r="P5100" s="185"/>
    </row>
    <row r="5101" spans="1:16" hidden="1" outlineLevel="1">
      <c r="E5101" s="59"/>
      <c r="F5101" s="60"/>
      <c r="G5101" s="34"/>
      <c r="H5101" s="30"/>
      <c r="I5101" s="35"/>
      <c r="J5101" s="41"/>
      <c r="K5101" s="10"/>
      <c r="L5101" s="32"/>
      <c r="M5101" s="10"/>
      <c r="N5101" s="33">
        <v>6</v>
      </c>
      <c r="O5101" s="31">
        <f>ROUND(PRODUCT(J5101:N5101),2)</f>
        <v>6</v>
      </c>
      <c r="P5101" s="185"/>
    </row>
    <row r="5102" spans="1:16" ht="30" hidden="1" outlineLevel="1">
      <c r="A5102" s="2">
        <v>11</v>
      </c>
      <c r="B5102" s="2">
        <v>4</v>
      </c>
      <c r="C5102" s="2">
        <f>C5100+1</f>
        <v>11</v>
      </c>
      <c r="E5102" s="20" t="str">
        <f>CONCATENATE(A5102,".",B5102,".",C5102)</f>
        <v>11.4.11</v>
      </c>
      <c r="F5102" s="21" t="s">
        <v>5440</v>
      </c>
      <c r="G5102" s="22">
        <v>96986</v>
      </c>
      <c r="H5102" s="23" t="s">
        <v>2668</v>
      </c>
      <c r="I5102" s="24" t="s">
        <v>36</v>
      </c>
      <c r="J5102" s="32"/>
      <c r="K5102" s="10"/>
      <c r="L5102" s="32"/>
      <c r="M5102" s="10"/>
      <c r="N5102" s="33"/>
      <c r="O5102" s="11">
        <f>SUM(O5103)</f>
        <v>2</v>
      </c>
      <c r="P5102" s="185"/>
    </row>
    <row r="5103" spans="1:16" hidden="1" outlineLevel="1">
      <c r="E5103" s="59"/>
      <c r="F5103" s="60"/>
      <c r="G5103" s="34"/>
      <c r="H5103" s="30"/>
      <c r="I5103" s="35"/>
      <c r="J5103" s="41"/>
      <c r="K5103" s="10"/>
      <c r="L5103" s="32"/>
      <c r="M5103" s="10"/>
      <c r="N5103" s="33">
        <v>2</v>
      </c>
      <c r="O5103" s="31">
        <f>ROUND(PRODUCT(J5103:N5103),2)</f>
        <v>2</v>
      </c>
      <c r="P5103" s="185"/>
    </row>
    <row r="5104" spans="1:16" ht="45" hidden="1" outlineLevel="1">
      <c r="A5104" s="2">
        <v>11</v>
      </c>
      <c r="B5104" s="2">
        <v>4</v>
      </c>
      <c r="C5104" s="2">
        <f>C5102+1</f>
        <v>12</v>
      </c>
      <c r="E5104" s="20" t="str">
        <f>CONCATENATE(A5104,".",B5104,".",C5104)</f>
        <v>11.4.12</v>
      </c>
      <c r="F5104" s="21" t="s">
        <v>5441</v>
      </c>
      <c r="G5104" s="22">
        <v>104750</v>
      </c>
      <c r="H5104" s="23" t="s">
        <v>5305</v>
      </c>
      <c r="I5104" s="24" t="s">
        <v>36</v>
      </c>
      <c r="J5104" s="32"/>
      <c r="K5104" s="10"/>
      <c r="L5104" s="32"/>
      <c r="M5104" s="10"/>
      <c r="N5104" s="33"/>
      <c r="O5104" s="11">
        <f>SUM(O5105)</f>
        <v>6</v>
      </c>
      <c r="P5104" s="185"/>
    </row>
    <row r="5105" spans="1:16" hidden="1" outlineLevel="1">
      <c r="E5105" s="59"/>
      <c r="F5105" s="60"/>
      <c r="G5105" s="34"/>
      <c r="H5105" s="30"/>
      <c r="I5105" s="35"/>
      <c r="J5105" s="41"/>
      <c r="K5105" s="10"/>
      <c r="L5105" s="32"/>
      <c r="M5105" s="10"/>
      <c r="N5105" s="33">
        <v>6</v>
      </c>
      <c r="O5105" s="31">
        <f>ROUND(PRODUCT(J5105:N5105),2)</f>
        <v>6</v>
      </c>
      <c r="P5105" s="185"/>
    </row>
    <row r="5106" spans="1:16" ht="30" hidden="1" outlineLevel="1">
      <c r="A5106" s="2">
        <v>11</v>
      </c>
      <c r="B5106" s="2">
        <v>4</v>
      </c>
      <c r="C5106" s="2">
        <f>C5104+1</f>
        <v>13</v>
      </c>
      <c r="E5106" s="20" t="str">
        <f>CONCATENATE(A5106,".",B5106,".",C5106)</f>
        <v>11.4.13</v>
      </c>
      <c r="F5106" s="21" t="s">
        <v>5442</v>
      </c>
      <c r="G5106" s="22">
        <v>101547</v>
      </c>
      <c r="H5106" s="23" t="s">
        <v>5443</v>
      </c>
      <c r="I5106" s="24" t="s">
        <v>36</v>
      </c>
      <c r="J5106" s="32"/>
      <c r="K5106" s="10"/>
      <c r="L5106" s="32"/>
      <c r="M5106" s="10"/>
      <c r="N5106" s="33"/>
      <c r="O5106" s="11">
        <f>SUM(O5107)</f>
        <v>12</v>
      </c>
      <c r="P5106" s="185"/>
    </row>
    <row r="5107" spans="1:16" hidden="1" outlineLevel="1">
      <c r="E5107" s="59"/>
      <c r="F5107" s="60"/>
      <c r="G5107" s="34"/>
      <c r="H5107" s="30"/>
      <c r="I5107" s="35"/>
      <c r="J5107" s="41"/>
      <c r="K5107" s="10"/>
      <c r="L5107" s="32"/>
      <c r="M5107" s="10"/>
      <c r="N5107" s="33">
        <v>12</v>
      </c>
      <c r="O5107" s="31">
        <f>ROUND(PRODUCT(J5107:N5107),2)</f>
        <v>12</v>
      </c>
      <c r="P5107" s="185"/>
    </row>
    <row r="5108" spans="1:16" hidden="1" outlineLevel="1">
      <c r="A5108" s="2">
        <v>11</v>
      </c>
      <c r="B5108" s="2">
        <v>4</v>
      </c>
      <c r="C5108" s="2">
        <f>C5106+1</f>
        <v>14</v>
      </c>
      <c r="E5108" s="20" t="str">
        <f>CONCATENATE(A5108,".",B5108,".",C5108)</f>
        <v>11.4.14</v>
      </c>
      <c r="F5108" s="21" t="s">
        <v>5444</v>
      </c>
      <c r="G5108" s="22" t="s">
        <v>5445</v>
      </c>
      <c r="H5108" s="23" t="s">
        <v>5446</v>
      </c>
      <c r="I5108" s="24" t="s">
        <v>144</v>
      </c>
      <c r="J5108" s="32"/>
      <c r="K5108" s="10"/>
      <c r="L5108" s="32"/>
      <c r="M5108" s="10"/>
      <c r="N5108" s="33"/>
      <c r="O5108" s="11">
        <f>SUM(O5109)</f>
        <v>20</v>
      </c>
      <c r="P5108" s="185"/>
    </row>
    <row r="5109" spans="1:16" hidden="1" outlineLevel="1">
      <c r="E5109" s="59"/>
      <c r="F5109" s="60"/>
      <c r="G5109" s="34"/>
      <c r="H5109" s="30"/>
      <c r="I5109" s="35"/>
      <c r="J5109" s="41"/>
      <c r="K5109" s="10"/>
      <c r="L5109" s="32"/>
      <c r="M5109" s="10"/>
      <c r="N5109" s="33">
        <v>20</v>
      </c>
      <c r="O5109" s="31">
        <f>ROUND(PRODUCT(J5109:N5109),2)</f>
        <v>20</v>
      </c>
      <c r="P5109" s="185"/>
    </row>
    <row r="5110" spans="1:16" ht="30" hidden="1" outlineLevel="1">
      <c r="A5110" s="2">
        <v>11</v>
      </c>
      <c r="B5110" s="2">
        <v>4</v>
      </c>
      <c r="C5110" s="2">
        <f>C5108+1</f>
        <v>15</v>
      </c>
      <c r="E5110" s="20" t="str">
        <f>CONCATENATE(A5110,".",B5110,".",C5110)</f>
        <v>11.4.15</v>
      </c>
      <c r="F5110" s="21" t="s">
        <v>5447</v>
      </c>
      <c r="G5110" s="22" t="s">
        <v>5448</v>
      </c>
      <c r="H5110" s="23" t="s">
        <v>5449</v>
      </c>
      <c r="I5110" s="24" t="s">
        <v>36</v>
      </c>
      <c r="J5110" s="32"/>
      <c r="K5110" s="10"/>
      <c r="L5110" s="32"/>
      <c r="M5110" s="10"/>
      <c r="N5110" s="33"/>
      <c r="O5110" s="11">
        <f>SUM(O5111)</f>
        <v>10</v>
      </c>
      <c r="P5110" s="185"/>
    </row>
    <row r="5111" spans="1:16" hidden="1" outlineLevel="1">
      <c r="E5111" s="59"/>
      <c r="F5111" s="60"/>
      <c r="G5111" s="34"/>
      <c r="H5111" s="30"/>
      <c r="I5111" s="35"/>
      <c r="J5111" s="41"/>
      <c r="K5111" s="10"/>
      <c r="L5111" s="32"/>
      <c r="M5111" s="10"/>
      <c r="N5111" s="33">
        <v>10</v>
      </c>
      <c r="O5111" s="31">
        <f>ROUND(PRODUCT(J5111:N5111),2)</f>
        <v>10</v>
      </c>
      <c r="P5111" s="185"/>
    </row>
    <row r="5112" spans="1:16" hidden="1" outlineLevel="1">
      <c r="A5112" s="2">
        <v>11</v>
      </c>
      <c r="B5112" s="2">
        <v>4</v>
      </c>
      <c r="C5112" s="2">
        <f>C5110+1</f>
        <v>16</v>
      </c>
      <c r="E5112" s="20" t="str">
        <f>CONCATENATE(A5112,".",B5112,".",C5112)</f>
        <v>11.4.16</v>
      </c>
      <c r="F5112" s="21" t="s">
        <v>5450</v>
      </c>
      <c r="G5112" s="22" t="s">
        <v>5372</v>
      </c>
      <c r="H5112" s="23" t="s">
        <v>5373</v>
      </c>
      <c r="I5112" s="24" t="s">
        <v>36</v>
      </c>
      <c r="J5112" s="32"/>
      <c r="K5112" s="10"/>
      <c r="L5112" s="32"/>
      <c r="M5112" s="10"/>
      <c r="N5112" s="33"/>
      <c r="O5112" s="11">
        <f>SUM(O5113)</f>
        <v>18</v>
      </c>
      <c r="P5112" s="185"/>
    </row>
    <row r="5113" spans="1:16" hidden="1" outlineLevel="1">
      <c r="E5113" s="59"/>
      <c r="F5113" s="60"/>
      <c r="G5113" s="34"/>
      <c r="H5113" s="30"/>
      <c r="I5113" s="35"/>
      <c r="J5113" s="41"/>
      <c r="K5113" s="10"/>
      <c r="L5113" s="32"/>
      <c r="M5113" s="10"/>
      <c r="N5113" s="33">
        <v>18</v>
      </c>
      <c r="O5113" s="31">
        <f>ROUND(PRODUCT(J5113:N5113),2)</f>
        <v>18</v>
      </c>
      <c r="P5113" s="185"/>
    </row>
    <row r="5114" spans="1:16" hidden="1" outlineLevel="1">
      <c r="A5114" s="2">
        <v>11</v>
      </c>
      <c r="B5114" s="2">
        <v>4</v>
      </c>
      <c r="C5114" s="2">
        <f>C5112+1</f>
        <v>17</v>
      </c>
      <c r="E5114" s="20" t="str">
        <f>CONCATENATE(A5114,".",B5114,".",C5114)</f>
        <v>11.4.17</v>
      </c>
      <c r="F5114" s="21" t="s">
        <v>5451</v>
      </c>
      <c r="G5114" s="22" t="s">
        <v>5452</v>
      </c>
      <c r="H5114" s="23" t="s">
        <v>5453</v>
      </c>
      <c r="I5114" s="24" t="s">
        <v>36</v>
      </c>
      <c r="J5114" s="32"/>
      <c r="K5114" s="10"/>
      <c r="L5114" s="32"/>
      <c r="M5114" s="10"/>
      <c r="N5114" s="33"/>
      <c r="O5114" s="11">
        <f>SUM(O5115)</f>
        <v>1</v>
      </c>
      <c r="P5114" s="185"/>
    </row>
    <row r="5115" spans="1:16" hidden="1" outlineLevel="1">
      <c r="E5115" s="59"/>
      <c r="F5115" s="60"/>
      <c r="G5115" s="34"/>
      <c r="H5115" s="30"/>
      <c r="I5115" s="35"/>
      <c r="J5115" s="41"/>
      <c r="K5115" s="10"/>
      <c r="L5115" s="32"/>
      <c r="M5115" s="10"/>
      <c r="N5115" s="33">
        <v>1</v>
      </c>
      <c r="O5115" s="31">
        <f>ROUND(PRODUCT(J5115:N5115),2)</f>
        <v>1</v>
      </c>
      <c r="P5115" s="185"/>
    </row>
    <row r="5116" spans="1:16" hidden="1" outlineLevel="1">
      <c r="A5116" s="2">
        <v>11</v>
      </c>
      <c r="B5116" s="2">
        <v>4</v>
      </c>
      <c r="C5116" s="2">
        <f>C5114+1</f>
        <v>18</v>
      </c>
      <c r="E5116" s="20" t="str">
        <f>CONCATENATE(A5116,".",B5116,".",C5116)</f>
        <v>11.4.18</v>
      </c>
      <c r="F5116" s="21" t="s">
        <v>5454</v>
      </c>
      <c r="G5116" s="22" t="s">
        <v>5455</v>
      </c>
      <c r="H5116" s="23" t="s">
        <v>5456</v>
      </c>
      <c r="I5116" s="24" t="s">
        <v>36</v>
      </c>
      <c r="J5116" s="32"/>
      <c r="K5116" s="10"/>
      <c r="L5116" s="32"/>
      <c r="M5116" s="10"/>
      <c r="N5116" s="33"/>
      <c r="O5116" s="11">
        <f>SUM(O5117)</f>
        <v>3</v>
      </c>
      <c r="P5116" s="185"/>
    </row>
    <row r="5117" spans="1:16" hidden="1" outlineLevel="1">
      <c r="E5117" s="59"/>
      <c r="F5117" s="60"/>
      <c r="G5117" s="34"/>
      <c r="H5117" s="30"/>
      <c r="I5117" s="35"/>
      <c r="J5117" s="41"/>
      <c r="K5117" s="10"/>
      <c r="L5117" s="32"/>
      <c r="M5117" s="10"/>
      <c r="N5117" s="33">
        <v>3</v>
      </c>
      <c r="O5117" s="31">
        <f>ROUND(PRODUCT(J5117:N5117),2)</f>
        <v>3</v>
      </c>
      <c r="P5117" s="185"/>
    </row>
    <row r="5118" spans="1:16" hidden="1" outlineLevel="1">
      <c r="A5118" s="2">
        <v>11</v>
      </c>
      <c r="B5118" s="2">
        <v>4</v>
      </c>
      <c r="C5118" s="2">
        <f>C5116+1</f>
        <v>19</v>
      </c>
      <c r="E5118" s="20" t="str">
        <f>CONCATENATE(A5118,".",B5118,".",C5118)</f>
        <v>11.4.19</v>
      </c>
      <c r="F5118" s="21" t="s">
        <v>5457</v>
      </c>
      <c r="G5118" s="22" t="s">
        <v>5458</v>
      </c>
      <c r="H5118" s="23" t="s">
        <v>5459</v>
      </c>
      <c r="I5118" s="24" t="s">
        <v>36</v>
      </c>
      <c r="J5118" s="32"/>
      <c r="K5118" s="10"/>
      <c r="L5118" s="32"/>
      <c r="M5118" s="10"/>
      <c r="N5118" s="33"/>
      <c r="O5118" s="11">
        <f>SUM(O5119)</f>
        <v>6</v>
      </c>
      <c r="P5118" s="185"/>
    </row>
    <row r="5119" spans="1:16" hidden="1" outlineLevel="1">
      <c r="E5119" s="59"/>
      <c r="F5119" s="60"/>
      <c r="G5119" s="34"/>
      <c r="H5119" s="30"/>
      <c r="I5119" s="35"/>
      <c r="J5119" s="41"/>
      <c r="K5119" s="10"/>
      <c r="L5119" s="32"/>
      <c r="M5119" s="10"/>
      <c r="N5119" s="33">
        <v>6</v>
      </c>
      <c r="O5119" s="31">
        <f>ROUND(PRODUCT(J5119:N5119),2)</f>
        <v>6</v>
      </c>
      <c r="P5119" s="185"/>
    </row>
    <row r="5120" spans="1:16" hidden="1" outlineLevel="1">
      <c r="A5120" s="2">
        <v>11</v>
      </c>
      <c r="B5120" s="2">
        <v>4</v>
      </c>
      <c r="C5120" s="2">
        <f>C5118+1</f>
        <v>20</v>
      </c>
      <c r="E5120" s="20" t="str">
        <f>CONCATENATE(A5120,".",B5120,".",C5120)</f>
        <v>11.4.20</v>
      </c>
      <c r="F5120" s="21" t="s">
        <v>5460</v>
      </c>
      <c r="G5120" s="22" t="s">
        <v>5461</v>
      </c>
      <c r="H5120" s="23" t="s">
        <v>5462</v>
      </c>
      <c r="I5120" s="24" t="s">
        <v>36</v>
      </c>
      <c r="J5120" s="32"/>
      <c r="K5120" s="10"/>
      <c r="L5120" s="32"/>
      <c r="M5120" s="10"/>
      <c r="N5120" s="33"/>
      <c r="O5120" s="11">
        <f>SUM(O5121)</f>
        <v>1</v>
      </c>
      <c r="P5120" s="185"/>
    </row>
    <row r="5121" spans="1:17" hidden="1" outlineLevel="1">
      <c r="E5121" s="59"/>
      <c r="F5121" s="60"/>
      <c r="G5121" s="34"/>
      <c r="H5121" s="30"/>
      <c r="I5121" s="35"/>
      <c r="J5121" s="41"/>
      <c r="K5121" s="10"/>
      <c r="L5121" s="32"/>
      <c r="M5121" s="10"/>
      <c r="N5121" s="33">
        <v>1</v>
      </c>
      <c r="O5121" s="31">
        <f>ROUND(PRODUCT(J5121:N5121),2)</f>
        <v>1</v>
      </c>
      <c r="P5121" s="185"/>
    </row>
    <row r="5122" spans="1:17" hidden="1" outlineLevel="1">
      <c r="A5122" s="2">
        <v>11</v>
      </c>
      <c r="B5122" s="2">
        <v>4</v>
      </c>
      <c r="C5122" s="2">
        <f>C5120+1</f>
        <v>21</v>
      </c>
      <c r="E5122" s="20" t="str">
        <f>CONCATENATE(A5122,".",B5122,".",C5122)</f>
        <v>11.4.21</v>
      </c>
      <c r="F5122" s="21" t="s">
        <v>5463</v>
      </c>
      <c r="G5122" s="22" t="s">
        <v>5464</v>
      </c>
      <c r="H5122" s="23" t="s">
        <v>5465</v>
      </c>
      <c r="I5122" s="24" t="s">
        <v>36</v>
      </c>
      <c r="J5122" s="32"/>
      <c r="K5122" s="10"/>
      <c r="L5122" s="32"/>
      <c r="M5122" s="10"/>
      <c r="N5122" s="33"/>
      <c r="O5122" s="11">
        <f>SUM(O5123)</f>
        <v>1</v>
      </c>
      <c r="P5122" s="185"/>
    </row>
    <row r="5123" spans="1:17" hidden="1" outlineLevel="1">
      <c r="E5123" s="59"/>
      <c r="F5123" s="60"/>
      <c r="G5123" s="34"/>
      <c r="H5123" s="30"/>
      <c r="I5123" s="35"/>
      <c r="J5123" s="41"/>
      <c r="K5123" s="10"/>
      <c r="L5123" s="32"/>
      <c r="M5123" s="10"/>
      <c r="N5123" s="33">
        <v>1</v>
      </c>
      <c r="O5123" s="31">
        <f>ROUND(PRODUCT(J5123:N5123),2)</f>
        <v>1</v>
      </c>
      <c r="P5123" s="185"/>
    </row>
    <row r="5124" spans="1:17" ht="30" hidden="1" outlineLevel="1">
      <c r="A5124" s="2">
        <v>11</v>
      </c>
      <c r="B5124" s="2">
        <v>4</v>
      </c>
      <c r="C5124" s="2">
        <f>C5122+1</f>
        <v>22</v>
      </c>
      <c r="E5124" s="20" t="str">
        <f>CONCATENATE(A5124,".",B5124,".",C5124)</f>
        <v>11.4.22</v>
      </c>
      <c r="F5124" s="21" t="s">
        <v>5466</v>
      </c>
      <c r="G5124" s="22" t="s">
        <v>5369</v>
      </c>
      <c r="H5124" s="23" t="s">
        <v>5370</v>
      </c>
      <c r="I5124" s="24" t="s">
        <v>36</v>
      </c>
      <c r="J5124" s="32"/>
      <c r="K5124" s="10"/>
      <c r="L5124" s="32"/>
      <c r="M5124" s="10"/>
      <c r="N5124" s="33"/>
      <c r="O5124" s="11">
        <f>SUM(O5125)</f>
        <v>3</v>
      </c>
      <c r="P5124" s="185"/>
    </row>
    <row r="5125" spans="1:17" hidden="1" outlineLevel="1">
      <c r="E5125" s="59"/>
      <c r="F5125" s="60"/>
      <c r="G5125" s="34"/>
      <c r="H5125" s="30"/>
      <c r="I5125" s="35"/>
      <c r="J5125" s="41"/>
      <c r="K5125" s="10"/>
      <c r="L5125" s="32"/>
      <c r="M5125" s="10"/>
      <c r="N5125" s="33">
        <v>3</v>
      </c>
      <c r="O5125" s="31">
        <f>ROUND(PRODUCT(J5125:N5125),2)</f>
        <v>3</v>
      </c>
      <c r="P5125" s="185"/>
    </row>
    <row r="5126" spans="1:17" hidden="1" outlineLevel="1">
      <c r="A5126" s="2">
        <v>11</v>
      </c>
      <c r="B5126" s="2">
        <v>4</v>
      </c>
      <c r="C5126" s="2">
        <f>C5124+1</f>
        <v>23</v>
      </c>
      <c r="E5126" s="20" t="str">
        <f>CONCATENATE(A5126,".",B5126,".",C5126)</f>
        <v>11.4.23</v>
      </c>
      <c r="F5126" s="21" t="s">
        <v>5467</v>
      </c>
      <c r="G5126" s="22" t="s">
        <v>5468</v>
      </c>
      <c r="H5126" s="23" t="s">
        <v>5469</v>
      </c>
      <c r="I5126" s="24" t="s">
        <v>36</v>
      </c>
      <c r="J5126" s="32"/>
      <c r="K5126" s="10"/>
      <c r="L5126" s="32"/>
      <c r="M5126" s="10"/>
      <c r="N5126" s="33"/>
      <c r="O5126" s="11">
        <f>SUM(O5127)</f>
        <v>18</v>
      </c>
      <c r="P5126" s="185"/>
    </row>
    <row r="5127" spans="1:17" hidden="1" outlineLevel="1">
      <c r="E5127" s="59"/>
      <c r="F5127" s="60"/>
      <c r="G5127" s="34"/>
      <c r="H5127" s="30"/>
      <c r="I5127" s="35"/>
      <c r="J5127" s="41"/>
      <c r="K5127" s="10"/>
      <c r="L5127" s="32"/>
      <c r="M5127" s="10"/>
      <c r="N5127" s="33">
        <v>18</v>
      </c>
      <c r="O5127" s="31">
        <f>ROUND(PRODUCT(J5127:N5127),2)</f>
        <v>18</v>
      </c>
      <c r="P5127" s="185"/>
    </row>
    <row r="5128" spans="1:17" hidden="1" outlineLevel="1">
      <c r="A5128" s="2">
        <v>11</v>
      </c>
      <c r="B5128" s="2">
        <v>4</v>
      </c>
      <c r="C5128" s="2">
        <f>C5126+1</f>
        <v>24</v>
      </c>
      <c r="E5128" s="20" t="str">
        <f>CONCATENATE(A5128,".",B5128,".",C5128)</f>
        <v>11.4.24</v>
      </c>
      <c r="F5128" s="21" t="s">
        <v>5470</v>
      </c>
      <c r="G5128" s="22" t="s">
        <v>5348</v>
      </c>
      <c r="H5128" s="23" t="s">
        <v>5349</v>
      </c>
      <c r="I5128" s="24" t="s">
        <v>36</v>
      </c>
      <c r="J5128" s="32"/>
      <c r="K5128" s="10"/>
      <c r="L5128" s="32"/>
      <c r="M5128" s="10"/>
      <c r="N5128" s="33"/>
      <c r="O5128" s="11">
        <f>SUM(O5129)</f>
        <v>6</v>
      </c>
      <c r="P5128" s="185"/>
    </row>
    <row r="5129" spans="1:17" hidden="1" outlineLevel="1">
      <c r="E5129" s="59"/>
      <c r="F5129" s="60"/>
      <c r="G5129" s="34"/>
      <c r="H5129" s="30"/>
      <c r="I5129" s="35"/>
      <c r="J5129" s="41"/>
      <c r="K5129" s="10"/>
      <c r="L5129" s="32"/>
      <c r="M5129" s="10"/>
      <c r="N5129" s="33">
        <v>6</v>
      </c>
      <c r="O5129" s="31">
        <f>ROUND(PRODUCT(J5129:N5129),2)</f>
        <v>6</v>
      </c>
      <c r="P5129" s="185"/>
    </row>
    <row r="5130" spans="1:17" collapsed="1">
      <c r="A5130" s="2">
        <v>11</v>
      </c>
      <c r="B5130" s="2">
        <v>5</v>
      </c>
      <c r="E5130" s="42" t="str">
        <f>CONCATENATE(A5130,".",B5130)</f>
        <v>11.5</v>
      </c>
      <c r="F5130" s="45" t="s">
        <v>5471</v>
      </c>
      <c r="G5130" s="13"/>
      <c r="H5130" s="14" t="s">
        <v>2464</v>
      </c>
      <c r="I5130" s="15"/>
      <c r="J5130" s="16"/>
      <c r="K5130" s="17"/>
      <c r="L5130" s="16"/>
      <c r="M5130" s="17"/>
      <c r="N5130" s="18"/>
      <c r="O5130" s="19"/>
      <c r="P5130" s="185"/>
      <c r="Q5130" s="185"/>
    </row>
    <row r="5131" spans="1:17" ht="30" hidden="1" outlineLevel="1">
      <c r="A5131" s="2">
        <v>11</v>
      </c>
      <c r="B5131" s="2">
        <v>5</v>
      </c>
      <c r="C5131" s="2">
        <f>C5130+1</f>
        <v>1</v>
      </c>
      <c r="E5131" s="20" t="str">
        <f>CONCATENATE(A5131,".",B5131,".",C5131)</f>
        <v>11.5.1</v>
      </c>
      <c r="F5131" s="120" t="s">
        <v>5292</v>
      </c>
      <c r="G5131" s="113" t="s">
        <v>5472</v>
      </c>
      <c r="H5131" s="114" t="s">
        <v>5473</v>
      </c>
      <c r="I5131" s="115" t="s">
        <v>45</v>
      </c>
      <c r="J5131" s="133"/>
      <c r="K5131" s="132"/>
      <c r="L5131" s="133"/>
      <c r="M5131" s="132"/>
      <c r="N5131" s="134"/>
      <c r="O5131" s="150">
        <f t="shared" ref="O5131:O5141" si="112">SUM(O5132)</f>
        <v>3919.97</v>
      </c>
      <c r="P5131" s="128"/>
    </row>
    <row r="5132" spans="1:17" hidden="1" outlineLevel="1">
      <c r="E5132" s="59"/>
      <c r="F5132" s="151"/>
      <c r="G5132" s="136"/>
      <c r="H5132" s="118"/>
      <c r="I5132" s="137"/>
      <c r="J5132" s="134"/>
      <c r="K5132" s="132"/>
      <c r="L5132" s="133"/>
      <c r="M5132" s="132"/>
      <c r="N5132" s="134">
        <v>3919.97</v>
      </c>
      <c r="O5132" s="139">
        <f>ROUND(PRODUCT(J5132:N5132),2)</f>
        <v>3919.97</v>
      </c>
      <c r="P5132" s="128"/>
    </row>
    <row r="5133" spans="1:17" ht="30" hidden="1" outlineLevel="1">
      <c r="A5133" s="2">
        <v>11</v>
      </c>
      <c r="B5133" s="2">
        <v>5</v>
      </c>
      <c r="C5133" s="2">
        <f>C5131+1</f>
        <v>2</v>
      </c>
      <c r="E5133" s="20" t="str">
        <f>CONCATENATE(A5133,".",B5133,".",C5133)</f>
        <v>11.5.2</v>
      </c>
      <c r="F5133" s="120" t="s">
        <v>5298</v>
      </c>
      <c r="G5133" s="113" t="s">
        <v>5474</v>
      </c>
      <c r="H5133" s="114" t="s">
        <v>5475</v>
      </c>
      <c r="I5133" s="115" t="s">
        <v>126</v>
      </c>
      <c r="J5133" s="133"/>
      <c r="K5133" s="132"/>
      <c r="L5133" s="133"/>
      <c r="M5133" s="132"/>
      <c r="N5133" s="134"/>
      <c r="O5133" s="150">
        <f t="shared" si="112"/>
        <v>783.99</v>
      </c>
      <c r="P5133" s="128"/>
    </row>
    <row r="5134" spans="1:17" hidden="1" outlineLevel="1">
      <c r="E5134" s="59"/>
      <c r="F5134" s="151"/>
      <c r="G5134" s="136"/>
      <c r="H5134" s="118"/>
      <c r="I5134" s="137"/>
      <c r="J5134" s="134"/>
      <c r="K5134" s="132"/>
      <c r="L5134" s="133"/>
      <c r="M5134" s="132"/>
      <c r="N5134" s="134">
        <v>783.99</v>
      </c>
      <c r="O5134" s="139">
        <f>ROUND(PRODUCT(J5134:N5134),2)</f>
        <v>783.99</v>
      </c>
      <c r="P5134" s="128"/>
    </row>
    <row r="5135" spans="1:17" ht="30" hidden="1" outlineLevel="1">
      <c r="E5135" s="59"/>
      <c r="F5135" s="120" t="s">
        <v>5304</v>
      </c>
      <c r="G5135" s="113">
        <v>92396</v>
      </c>
      <c r="H5135" s="114" t="s">
        <v>2473</v>
      </c>
      <c r="I5135" s="115" t="s">
        <v>276</v>
      </c>
      <c r="J5135" s="133"/>
      <c r="K5135" s="132"/>
      <c r="L5135" s="133"/>
      <c r="M5135" s="132"/>
      <c r="N5135" s="134"/>
      <c r="O5135" s="150">
        <f>SUM(O5136:O5136)</f>
        <v>630.07000000000005</v>
      </c>
      <c r="P5135" s="128"/>
    </row>
    <row r="5136" spans="1:17" hidden="1" outlineLevel="1">
      <c r="E5136" s="59"/>
      <c r="F5136" s="151"/>
      <c r="G5136" s="136"/>
      <c r="H5136" s="118"/>
      <c r="I5136" s="137"/>
      <c r="J5136" s="134"/>
      <c r="K5136" s="132"/>
      <c r="L5136" s="133"/>
      <c r="M5136" s="132"/>
      <c r="N5136" s="134">
        <v>630.07000000000005</v>
      </c>
      <c r="O5136" s="139">
        <f>ROUND(PRODUCT(J5136:N5136),2)</f>
        <v>630.07000000000005</v>
      </c>
      <c r="P5136" s="128"/>
    </row>
    <row r="5137" spans="1:16" ht="30" hidden="1" outlineLevel="1">
      <c r="E5137" s="59"/>
      <c r="F5137" s="120" t="s">
        <v>5306</v>
      </c>
      <c r="G5137" s="113">
        <v>1433</v>
      </c>
      <c r="H5137" s="114" t="s">
        <v>5476</v>
      </c>
      <c r="I5137" s="115" t="s">
        <v>276</v>
      </c>
      <c r="J5137" s="133"/>
      <c r="K5137" s="132"/>
      <c r="L5137" s="133"/>
      <c r="M5137" s="132"/>
      <c r="N5137" s="134"/>
      <c r="O5137" s="150">
        <f t="shared" si="112"/>
        <v>42.72</v>
      </c>
      <c r="P5137" s="128"/>
    </row>
    <row r="5138" spans="1:16" hidden="1" outlineLevel="1">
      <c r="E5138" s="59"/>
      <c r="F5138" s="151"/>
      <c r="G5138" s="136"/>
      <c r="H5138" s="118"/>
      <c r="I5138" s="137"/>
      <c r="J5138" s="134"/>
      <c r="K5138" s="132"/>
      <c r="L5138" s="133"/>
      <c r="M5138" s="132"/>
      <c r="N5138" s="134">
        <v>42.72</v>
      </c>
      <c r="O5138" s="139">
        <f>ROUND(PRODUCT(J5138:N5138),2)</f>
        <v>42.72</v>
      </c>
      <c r="P5138" s="128"/>
    </row>
    <row r="5139" spans="1:16" ht="45" hidden="1" outlineLevel="1">
      <c r="E5139" s="59"/>
      <c r="F5139" s="120" t="s">
        <v>5309</v>
      </c>
      <c r="G5139" s="113">
        <v>94994</v>
      </c>
      <c r="H5139" s="114" t="s">
        <v>5477</v>
      </c>
      <c r="I5139" s="115" t="s">
        <v>2815</v>
      </c>
      <c r="J5139" s="133"/>
      <c r="K5139" s="132"/>
      <c r="L5139" s="133"/>
      <c r="M5139" s="132"/>
      <c r="N5139" s="134"/>
      <c r="O5139" s="150">
        <f t="shared" si="112"/>
        <v>64.72</v>
      </c>
      <c r="P5139" s="128"/>
    </row>
    <row r="5140" spans="1:16" hidden="1" outlineLevel="1">
      <c r="E5140" s="59"/>
      <c r="F5140" s="151"/>
      <c r="G5140" s="136"/>
      <c r="H5140" s="118"/>
      <c r="I5140" s="137"/>
      <c r="J5140" s="134"/>
      <c r="K5140" s="132"/>
      <c r="L5140" s="133"/>
      <c r="M5140" s="132"/>
      <c r="N5140" s="134">
        <v>64.72</v>
      </c>
      <c r="O5140" s="139">
        <f>ROUND(PRODUCT(J5140:N5140),2)</f>
        <v>64.72</v>
      </c>
      <c r="P5140" s="128"/>
    </row>
    <row r="5141" spans="1:16" ht="30" hidden="1" outlineLevel="1">
      <c r="E5141" s="59"/>
      <c r="F5141" s="120" t="s">
        <v>5311</v>
      </c>
      <c r="G5141" s="113">
        <v>92400</v>
      </c>
      <c r="H5141" s="114" t="s">
        <v>2479</v>
      </c>
      <c r="I5141" s="115" t="s">
        <v>276</v>
      </c>
      <c r="J5141" s="133"/>
      <c r="K5141" s="132"/>
      <c r="L5141" s="133"/>
      <c r="M5141" s="132"/>
      <c r="N5141" s="134"/>
      <c r="O5141" s="150">
        <f t="shared" si="112"/>
        <v>3877.25</v>
      </c>
      <c r="P5141" s="128"/>
    </row>
    <row r="5142" spans="1:16" hidden="1" outlineLevel="1">
      <c r="E5142" s="59"/>
      <c r="F5142" s="151"/>
      <c r="G5142" s="136"/>
      <c r="H5142" s="118"/>
      <c r="I5142" s="137"/>
      <c r="J5142" s="134"/>
      <c r="K5142" s="132"/>
      <c r="L5142" s="133"/>
      <c r="M5142" s="132"/>
      <c r="N5142" s="134">
        <v>3877.25</v>
      </c>
      <c r="O5142" s="139">
        <f>ROUND(PRODUCT(J5142:N5142),2)</f>
        <v>3877.25</v>
      </c>
      <c r="P5142" s="128"/>
    </row>
    <row r="5143" spans="1:16" ht="30" hidden="1" outlineLevel="1">
      <c r="E5143" s="59"/>
      <c r="F5143" s="120" t="s">
        <v>5312</v>
      </c>
      <c r="G5143" s="113">
        <v>102507</v>
      </c>
      <c r="H5143" s="114" t="s">
        <v>2482</v>
      </c>
      <c r="I5143" s="115" t="s">
        <v>144</v>
      </c>
      <c r="J5143" s="133"/>
      <c r="K5143" s="132"/>
      <c r="L5143" s="133"/>
      <c r="M5143" s="132"/>
      <c r="N5143" s="134"/>
      <c r="O5143" s="150">
        <f>SUM(O5145:O5148)</f>
        <v>262.5</v>
      </c>
      <c r="P5143" s="185"/>
    </row>
    <row r="5144" spans="1:16" hidden="1" outlineLevel="1">
      <c r="E5144" s="59"/>
      <c r="F5144" s="151"/>
      <c r="G5144" s="136"/>
      <c r="H5144" s="118" t="s">
        <v>5478</v>
      </c>
      <c r="I5144" s="137"/>
      <c r="J5144" s="134"/>
      <c r="K5144" s="134">
        <v>5</v>
      </c>
      <c r="L5144" s="133"/>
      <c r="M5144" s="132"/>
      <c r="N5144" s="134">
        <v>9</v>
      </c>
      <c r="O5144" s="139">
        <f>ROUND(PRODUCT(J5144:N5144),2)</f>
        <v>45</v>
      </c>
      <c r="P5144" s="185"/>
    </row>
    <row r="5145" spans="1:16" hidden="1" outlineLevel="1">
      <c r="E5145" s="59"/>
      <c r="F5145" s="151"/>
      <c r="G5145" s="136"/>
      <c r="H5145" s="118" t="s">
        <v>5479</v>
      </c>
      <c r="I5145" s="137"/>
      <c r="J5145" s="134"/>
      <c r="K5145" s="134">
        <v>2.5</v>
      </c>
      <c r="L5145" s="133"/>
      <c r="M5145" s="132"/>
      <c r="N5145" s="134">
        <v>9</v>
      </c>
      <c r="O5145" s="139">
        <f>ROUND(PRODUCT(J5145:N5145),2)</f>
        <v>22.5</v>
      </c>
      <c r="P5145" s="185"/>
    </row>
    <row r="5146" spans="1:16" hidden="1" outlineLevel="1">
      <c r="E5146" s="59"/>
      <c r="F5146" s="151"/>
      <c r="G5146" s="136"/>
      <c r="H5146" s="118" t="s">
        <v>5480</v>
      </c>
      <c r="I5146" s="137"/>
      <c r="J5146" s="134"/>
      <c r="K5146" s="134">
        <f>1.5*10</f>
        <v>15</v>
      </c>
      <c r="L5146" s="133"/>
      <c r="M5146" s="132"/>
      <c r="N5146" s="134">
        <v>1</v>
      </c>
      <c r="O5146" s="139">
        <f>ROUND(PRODUCT(J5146:N5146),2)</f>
        <v>15</v>
      </c>
      <c r="P5146" s="185"/>
    </row>
    <row r="5147" spans="1:16" hidden="1" outlineLevel="1">
      <c r="E5147" s="59"/>
      <c r="F5147" s="151"/>
      <c r="G5147" s="136"/>
      <c r="H5147" s="118" t="s">
        <v>5481</v>
      </c>
      <c r="I5147" s="137"/>
      <c r="J5147" s="134"/>
      <c r="K5147" s="134">
        <v>5</v>
      </c>
      <c r="L5147" s="133"/>
      <c r="M5147" s="132"/>
      <c r="N5147" s="134">
        <f>9+13+13+6</f>
        <v>41</v>
      </c>
      <c r="O5147" s="139">
        <f>ROUND(PRODUCT(J5147:N5147),2)</f>
        <v>205</v>
      </c>
      <c r="P5147" s="185"/>
    </row>
    <row r="5148" spans="1:16" hidden="1" outlineLevel="1">
      <c r="E5148" s="59"/>
      <c r="F5148" s="151"/>
      <c r="G5148" s="136"/>
      <c r="H5148" s="118" t="s">
        <v>5482</v>
      </c>
      <c r="I5148" s="137"/>
      <c r="J5148" s="134"/>
      <c r="K5148" s="134">
        <v>2.5</v>
      </c>
      <c r="L5148" s="133"/>
      <c r="M5148" s="132"/>
      <c r="N5148" s="134">
        <v>8</v>
      </c>
      <c r="O5148" s="139">
        <f>ROUND(PRODUCT(J5148:N5148),2)</f>
        <v>20</v>
      </c>
      <c r="P5148" s="185"/>
    </row>
    <row r="5149" spans="1:16" ht="30" hidden="1" outlineLevel="1">
      <c r="A5149" s="2">
        <v>11</v>
      </c>
      <c r="B5149" s="2">
        <v>5</v>
      </c>
      <c r="C5149" s="2">
        <f>C5133+1</f>
        <v>3</v>
      </c>
      <c r="E5149" s="20" t="str">
        <f>CONCATENATE(A5149,".",B5149,".",C5149)</f>
        <v>11.5.3</v>
      </c>
      <c r="F5149" s="120" t="s">
        <v>5314</v>
      </c>
      <c r="G5149" s="113">
        <v>105004</v>
      </c>
      <c r="H5149" s="114" t="s">
        <v>2485</v>
      </c>
      <c r="I5149" s="115" t="s">
        <v>276</v>
      </c>
      <c r="J5149" s="133"/>
      <c r="K5149" s="132"/>
      <c r="L5149" s="133"/>
      <c r="M5149" s="132"/>
      <c r="N5149" s="134"/>
      <c r="O5149" s="150">
        <f>SUM(O5150:O5152)</f>
        <v>59.78</v>
      </c>
      <c r="P5149" s="185"/>
    </row>
    <row r="5150" spans="1:16" hidden="1" outlineLevel="1">
      <c r="E5150" s="59"/>
      <c r="F5150" s="151"/>
      <c r="G5150" s="136"/>
      <c r="H5150" s="118" t="s">
        <v>5483</v>
      </c>
      <c r="I5150" s="137"/>
      <c r="J5150" s="134"/>
      <c r="K5150" s="132"/>
      <c r="L5150" s="133"/>
      <c r="M5150" s="132"/>
      <c r="N5150" s="134">
        <f>5.23*7.34</f>
        <v>38.388200000000005</v>
      </c>
      <c r="O5150" s="139">
        <f>ROUND(PRODUCT(J5150:N5150),2)</f>
        <v>38.39</v>
      </c>
      <c r="P5150" s="185"/>
    </row>
    <row r="5151" spans="1:16" hidden="1" outlineLevel="1">
      <c r="A5151" s="2">
        <v>11</v>
      </c>
      <c r="B5151" s="2">
        <v>5</v>
      </c>
      <c r="C5151" s="2">
        <f>C5149+1</f>
        <v>4</v>
      </c>
      <c r="E5151" s="20" t="str">
        <f>CONCATENATE(A5151,".",B5151,".",C5151)</f>
        <v>11.5.4</v>
      </c>
      <c r="F5151" s="151"/>
      <c r="G5151" s="136"/>
      <c r="H5151" s="118" t="s">
        <v>5484</v>
      </c>
      <c r="I5151" s="137"/>
      <c r="J5151" s="134"/>
      <c r="K5151" s="132"/>
      <c r="L5151" s="133"/>
      <c r="M5151" s="132"/>
      <c r="N5151" s="134">
        <f>5.23*2.65</f>
        <v>13.859500000000001</v>
      </c>
      <c r="O5151" s="139">
        <f>ROUND(PRODUCT(J5151:N5151),2)</f>
        <v>13.86</v>
      </c>
      <c r="P5151" s="185"/>
    </row>
    <row r="5152" spans="1:16" hidden="1" outlineLevel="1">
      <c r="E5152" s="59"/>
      <c r="F5152" s="151"/>
      <c r="G5152" s="136"/>
      <c r="H5152" s="118" t="s">
        <v>5485</v>
      </c>
      <c r="I5152" s="137"/>
      <c r="J5152" s="134"/>
      <c r="K5152" s="132"/>
      <c r="L5152" s="133"/>
      <c r="M5152" s="132"/>
      <c r="N5152" s="134">
        <v>7.53</v>
      </c>
      <c r="O5152" s="139">
        <f>ROUND(PRODUCT(J5152:N5152),2)</f>
        <v>7.53</v>
      </c>
      <c r="P5152" s="185"/>
    </row>
    <row r="5153" spans="1:17" collapsed="1">
      <c r="A5153" s="2">
        <v>11</v>
      </c>
      <c r="B5153" s="2">
        <v>6</v>
      </c>
      <c r="E5153" s="42" t="str">
        <f>CONCATENATE(A5153,".",B5153)</f>
        <v>11.6</v>
      </c>
      <c r="F5153" s="45" t="s">
        <v>5486</v>
      </c>
      <c r="G5153" s="13"/>
      <c r="H5153" s="14" t="s">
        <v>2490</v>
      </c>
      <c r="I5153" s="15"/>
      <c r="J5153" s="16"/>
      <c r="K5153" s="17"/>
      <c r="L5153" s="16"/>
      <c r="M5153" s="17"/>
      <c r="N5153" s="18"/>
      <c r="O5153" s="19"/>
      <c r="P5153" s="185"/>
      <c r="Q5153" s="185"/>
    </row>
    <row r="5154" spans="1:17" hidden="1" outlineLevel="1">
      <c r="A5154" s="2">
        <v>11</v>
      </c>
      <c r="B5154" s="2">
        <v>6</v>
      </c>
      <c r="C5154" s="2" t="e">
        <f>#REF!+1</f>
        <v>#REF!</v>
      </c>
      <c r="E5154" s="20" t="e">
        <f>CONCATENATE(A5154,".",B5154,".",C5154)</f>
        <v>#REF!</v>
      </c>
      <c r="F5154" s="21" t="s">
        <v>5487</v>
      </c>
      <c r="G5154" s="22" t="s">
        <v>5488</v>
      </c>
      <c r="H5154" s="23" t="s">
        <v>5489</v>
      </c>
      <c r="I5154" s="24" t="s">
        <v>36</v>
      </c>
      <c r="J5154" s="32"/>
      <c r="K5154" s="10"/>
      <c r="L5154" s="32"/>
      <c r="M5154" s="10"/>
      <c r="N5154" s="33"/>
      <c r="O5154" s="11">
        <f>SUM(O5155)</f>
        <v>1</v>
      </c>
      <c r="P5154" s="185"/>
    </row>
    <row r="5155" spans="1:17" hidden="1" outlineLevel="1">
      <c r="E5155" s="59"/>
      <c r="F5155" s="60"/>
      <c r="G5155" s="34"/>
      <c r="H5155" s="30"/>
      <c r="I5155" s="35"/>
      <c r="J5155" s="41"/>
      <c r="K5155" s="10"/>
      <c r="L5155" s="32"/>
      <c r="M5155" s="10"/>
      <c r="N5155" s="33">
        <v>1</v>
      </c>
      <c r="O5155" s="31">
        <f>ROUND(PRODUCT(J5155:N5155),2)</f>
        <v>1</v>
      </c>
      <c r="P5155" s="185"/>
    </row>
    <row r="5156" spans="1:17" collapsed="1">
      <c r="A5156" s="2">
        <v>11</v>
      </c>
      <c r="B5156" s="2">
        <v>7</v>
      </c>
      <c r="E5156" s="42" t="str">
        <f>CONCATENATE(A5156,".",B5156)</f>
        <v>11.7</v>
      </c>
      <c r="F5156" s="45" t="s">
        <v>5490</v>
      </c>
      <c r="G5156" s="13"/>
      <c r="H5156" s="14" t="s">
        <v>2507</v>
      </c>
      <c r="I5156" s="15"/>
      <c r="J5156" s="16"/>
      <c r="K5156" s="17"/>
      <c r="L5156" s="16"/>
      <c r="M5156" s="17"/>
      <c r="N5156" s="18"/>
      <c r="O5156" s="19"/>
      <c r="P5156" s="185"/>
      <c r="Q5156" s="185"/>
    </row>
    <row r="5157" spans="1:17" hidden="1" outlineLevel="1">
      <c r="A5157" s="2">
        <v>11</v>
      </c>
      <c r="B5157" s="2">
        <v>7</v>
      </c>
      <c r="C5157" s="2">
        <f>C5156+1</f>
        <v>1</v>
      </c>
      <c r="E5157" s="20" t="str">
        <f>CONCATENATE(A5157,".",B5157,".",C5157)</f>
        <v>11.7.1</v>
      </c>
      <c r="F5157" s="120" t="s">
        <v>5491</v>
      </c>
      <c r="G5157" s="113" t="s">
        <v>5492</v>
      </c>
      <c r="H5157" s="114" t="s">
        <v>5493</v>
      </c>
      <c r="I5157" s="115" t="s">
        <v>144</v>
      </c>
      <c r="J5157" s="133"/>
      <c r="K5157" s="132"/>
      <c r="L5157" s="133"/>
      <c r="M5157" s="132"/>
      <c r="N5157" s="134"/>
      <c r="O5157" s="150">
        <f>SUM(O5158)</f>
        <v>978</v>
      </c>
      <c r="P5157" s="128"/>
    </row>
    <row r="5158" spans="1:17" hidden="1" outlineLevel="1">
      <c r="E5158" s="59"/>
      <c r="F5158" s="151"/>
      <c r="G5158" s="136"/>
      <c r="H5158" s="118"/>
      <c r="I5158" s="137"/>
      <c r="J5158" s="134"/>
      <c r="K5158" s="132"/>
      <c r="L5158" s="133"/>
      <c r="M5158" s="132"/>
      <c r="N5158" s="134">
        <v>978</v>
      </c>
      <c r="O5158" s="139">
        <f>ROUND(PRODUCT(J5158:N5158),2)</f>
        <v>978</v>
      </c>
      <c r="P5158" s="128"/>
    </row>
    <row r="5159" spans="1:17" hidden="1" outlineLevel="1">
      <c r="A5159" s="2">
        <v>11</v>
      </c>
      <c r="B5159" s="2">
        <v>7</v>
      </c>
      <c r="C5159" s="2">
        <f>C5157+1</f>
        <v>2</v>
      </c>
      <c r="E5159" s="20" t="str">
        <f>CONCATENATE(A5159,".",B5159,".",C5159)</f>
        <v>11.7.2</v>
      </c>
      <c r="F5159" s="120" t="s">
        <v>5494</v>
      </c>
      <c r="G5159" s="113">
        <v>2003700</v>
      </c>
      <c r="H5159" s="114" t="s">
        <v>5495</v>
      </c>
      <c r="I5159" s="115" t="s">
        <v>36</v>
      </c>
      <c r="J5159" s="133"/>
      <c r="K5159" s="132"/>
      <c r="L5159" s="133"/>
      <c r="M5159" s="132"/>
      <c r="N5159" s="134"/>
      <c r="O5159" s="150">
        <f>SUM(O5160)</f>
        <v>3</v>
      </c>
      <c r="P5159" s="128"/>
    </row>
    <row r="5160" spans="1:17" hidden="1" outlineLevel="1">
      <c r="E5160" s="59"/>
      <c r="F5160" s="151"/>
      <c r="G5160" s="136"/>
      <c r="H5160" s="118"/>
      <c r="I5160" s="137"/>
      <c r="J5160" s="134"/>
      <c r="K5160" s="132"/>
      <c r="L5160" s="133"/>
      <c r="M5160" s="132"/>
      <c r="N5160" s="134">
        <v>3</v>
      </c>
      <c r="O5160" s="139">
        <f>ROUND(PRODUCT(J5160:N5160),2)</f>
        <v>3</v>
      </c>
      <c r="P5160" s="128"/>
    </row>
    <row r="5161" spans="1:17" hidden="1" outlineLevel="1">
      <c r="A5161" s="2">
        <v>11</v>
      </c>
      <c r="B5161" s="2">
        <v>7</v>
      </c>
      <c r="C5161" s="2">
        <f>C5159+1</f>
        <v>3</v>
      </c>
      <c r="E5161" s="20" t="str">
        <f>CONCATENATE(A5161,".",B5161,".",C5161)</f>
        <v>11.7.3</v>
      </c>
      <c r="F5161" s="120" t="s">
        <v>5496</v>
      </c>
      <c r="G5161" s="113">
        <v>1444</v>
      </c>
      <c r="H5161" s="114" t="s">
        <v>2519</v>
      </c>
      <c r="I5161" s="115" t="s">
        <v>144</v>
      </c>
      <c r="J5161" s="133"/>
      <c r="K5161" s="132"/>
      <c r="L5161" s="133"/>
      <c r="M5161" s="132"/>
      <c r="N5161" s="134"/>
      <c r="O5161" s="150">
        <f>SUM(O5162)</f>
        <v>334.41</v>
      </c>
      <c r="P5161" s="128"/>
    </row>
    <row r="5162" spans="1:17" hidden="1" outlineLevel="1">
      <c r="E5162" s="59"/>
      <c r="F5162" s="151"/>
      <c r="G5162" s="136"/>
      <c r="H5162" s="118"/>
      <c r="I5162" s="137"/>
      <c r="J5162" s="134"/>
      <c r="K5162" s="132"/>
      <c r="L5162" s="133"/>
      <c r="M5162" s="132"/>
      <c r="N5162" s="134">
        <v>334.41</v>
      </c>
      <c r="O5162" s="139">
        <f>ROUND(PRODUCT(J5162:N5162),2)</f>
        <v>334.41</v>
      </c>
      <c r="P5162" s="128"/>
    </row>
    <row r="5163" spans="1:17" hidden="1" outlineLevel="1">
      <c r="A5163" s="2">
        <v>11</v>
      </c>
      <c r="B5163" s="2">
        <v>7</v>
      </c>
      <c r="C5163" s="2">
        <f>C5161+1</f>
        <v>4</v>
      </c>
      <c r="E5163" s="20" t="str">
        <f>CONCATENATE(A5163,".",B5163,".",C5163)</f>
        <v>11.7.4</v>
      </c>
      <c r="F5163" s="120" t="s">
        <v>5497</v>
      </c>
      <c r="G5163" s="113">
        <v>2003983</v>
      </c>
      <c r="H5163" s="114" t="s">
        <v>5498</v>
      </c>
      <c r="I5163" s="115" t="s">
        <v>144</v>
      </c>
      <c r="J5163" s="133"/>
      <c r="K5163" s="132"/>
      <c r="L5163" s="133"/>
      <c r="M5163" s="132"/>
      <c r="N5163" s="134"/>
      <c r="O5163" s="150">
        <f>SUM(O5164)</f>
        <v>52.54</v>
      </c>
      <c r="P5163" s="128"/>
    </row>
    <row r="5164" spans="1:17" hidden="1" outlineLevel="1">
      <c r="E5164" s="59"/>
      <c r="F5164" s="151"/>
      <c r="G5164" s="136"/>
      <c r="H5164" s="118"/>
      <c r="I5164" s="137"/>
      <c r="J5164" s="134"/>
      <c r="K5164" s="132"/>
      <c r="L5164" s="133"/>
      <c r="M5164" s="132"/>
      <c r="N5164" s="134">
        <v>52.54</v>
      </c>
      <c r="O5164" s="139">
        <f>ROUND(PRODUCT(J5164:N5164),2)</f>
        <v>52.54</v>
      </c>
      <c r="P5164" s="128"/>
    </row>
    <row r="5165" spans="1:17" hidden="1" outlineLevel="1">
      <c r="A5165" s="2">
        <v>11</v>
      </c>
      <c r="B5165" s="2">
        <v>7</v>
      </c>
      <c r="C5165" s="2">
        <f>C5163+1</f>
        <v>5</v>
      </c>
      <c r="E5165" s="20" t="str">
        <f>CONCATENATE(A5165,".",B5165,".",C5165)</f>
        <v>11.7.5</v>
      </c>
      <c r="F5165" s="152" t="s">
        <v>5499</v>
      </c>
      <c r="G5165" s="153">
        <v>2003985</v>
      </c>
      <c r="H5165" s="154" t="s">
        <v>5500</v>
      </c>
      <c r="I5165" s="115" t="s">
        <v>144</v>
      </c>
      <c r="J5165" s="156"/>
      <c r="K5165" s="157"/>
      <c r="L5165" s="156"/>
      <c r="M5165" s="157"/>
      <c r="N5165" s="158"/>
      <c r="O5165" s="159">
        <f>SUM(O5166)</f>
        <v>51.19</v>
      </c>
      <c r="P5165" s="128"/>
    </row>
    <row r="5166" spans="1:17" hidden="1" outlineLevel="1">
      <c r="E5166" s="59"/>
      <c r="F5166" s="152"/>
      <c r="G5166" s="160"/>
      <c r="H5166" s="161"/>
      <c r="I5166" s="162"/>
      <c r="J5166" s="158"/>
      <c r="K5166" s="157"/>
      <c r="L5166" s="156"/>
      <c r="M5166" s="157"/>
      <c r="N5166" s="158">
        <v>51.19</v>
      </c>
      <c r="O5166" s="139">
        <f>ROUND(PRODUCT(J5166:N5166),2)</f>
        <v>51.19</v>
      </c>
      <c r="P5166" s="128"/>
    </row>
    <row r="5167" spans="1:17" hidden="1" outlineLevel="1">
      <c r="A5167" s="2">
        <v>11</v>
      </c>
      <c r="B5167" s="2">
        <v>7</v>
      </c>
      <c r="C5167" s="2">
        <f>C5165+1</f>
        <v>6</v>
      </c>
      <c r="E5167" s="20" t="str">
        <f>CONCATENATE(A5167,".",B5167,".",C5167)</f>
        <v>11.7.6</v>
      </c>
      <c r="F5167" s="152" t="s">
        <v>5501</v>
      </c>
      <c r="G5167" s="153">
        <v>2003624</v>
      </c>
      <c r="H5167" s="154" t="s">
        <v>5502</v>
      </c>
      <c r="I5167" s="155" t="s">
        <v>144</v>
      </c>
      <c r="J5167" s="156"/>
      <c r="K5167" s="157"/>
      <c r="L5167" s="156"/>
      <c r="M5167" s="157"/>
      <c r="N5167" s="158"/>
      <c r="O5167" s="159">
        <f>SUM(O5168)</f>
        <v>8</v>
      </c>
      <c r="P5167" s="128"/>
    </row>
    <row r="5168" spans="1:17" hidden="1" outlineLevel="1">
      <c r="E5168" s="59"/>
      <c r="F5168" s="163"/>
      <c r="G5168" s="160"/>
      <c r="H5168" s="161"/>
      <c r="I5168" s="162"/>
      <c r="J5168" s="158"/>
      <c r="K5168" s="157"/>
      <c r="L5168" s="156"/>
      <c r="M5168" s="157"/>
      <c r="N5168" s="158">
        <v>8</v>
      </c>
      <c r="O5168" s="139">
        <f>ROUND(PRODUCT(J5168:N5168),2)</f>
        <v>8</v>
      </c>
      <c r="P5168" s="128"/>
    </row>
    <row r="5169" spans="1:17" hidden="1" outlineLevel="1">
      <c r="E5169" s="59"/>
      <c r="F5169" s="120" t="s">
        <v>5503</v>
      </c>
      <c r="G5169" s="113"/>
      <c r="H5169" s="114"/>
      <c r="I5169" s="115" t="s">
        <v>36</v>
      </c>
      <c r="J5169" s="133"/>
      <c r="K5169" s="132"/>
      <c r="L5169" s="133"/>
      <c r="M5169" s="132"/>
      <c r="N5169" s="134"/>
      <c r="O5169" s="150">
        <f>SUM(O5170)</f>
        <v>14</v>
      </c>
      <c r="P5169" s="185"/>
    </row>
    <row r="5170" spans="1:17" hidden="1" outlineLevel="1">
      <c r="E5170" s="59"/>
      <c r="F5170" s="151"/>
      <c r="G5170" s="136"/>
      <c r="H5170" s="118"/>
      <c r="I5170" s="137"/>
      <c r="J5170" s="134"/>
      <c r="K5170" s="132"/>
      <c r="L5170" s="133"/>
      <c r="M5170" s="132"/>
      <c r="N5170" s="134">
        <v>14</v>
      </c>
      <c r="O5170" s="139">
        <f>ROUND(PRODUCT(J5170:N5170),2)</f>
        <v>14</v>
      </c>
      <c r="P5170" s="185"/>
    </row>
    <row r="5171" spans="1:17" hidden="1" outlineLevel="1">
      <c r="E5171" s="59"/>
      <c r="F5171" s="152" t="s">
        <v>5504</v>
      </c>
      <c r="G5171" s="153">
        <v>2003718</v>
      </c>
      <c r="H5171" s="154" t="s">
        <v>5505</v>
      </c>
      <c r="I5171" s="155" t="s">
        <v>36</v>
      </c>
      <c r="J5171" s="156"/>
      <c r="K5171" s="157"/>
      <c r="L5171" s="156"/>
      <c r="M5171" s="157"/>
      <c r="N5171" s="158"/>
      <c r="O5171" s="159">
        <f>SUM(O5172)</f>
        <v>4</v>
      </c>
      <c r="P5171" s="128"/>
    </row>
    <row r="5172" spans="1:17" hidden="1" outlineLevel="1">
      <c r="E5172" s="59"/>
      <c r="F5172" s="152"/>
      <c r="G5172" s="160"/>
      <c r="H5172" s="161"/>
      <c r="I5172" s="162"/>
      <c r="J5172" s="158"/>
      <c r="K5172" s="157"/>
      <c r="L5172" s="156"/>
      <c r="M5172" s="157"/>
      <c r="N5172" s="158">
        <v>4</v>
      </c>
      <c r="O5172" s="139">
        <f>ROUND(PRODUCT(J5172:N5172),2)</f>
        <v>4</v>
      </c>
      <c r="P5172" s="128"/>
    </row>
    <row r="5173" spans="1:17" collapsed="1">
      <c r="A5173" s="2">
        <v>11</v>
      </c>
      <c r="B5173" s="2">
        <v>8</v>
      </c>
      <c r="E5173" s="42" t="str">
        <f>CONCATENATE(A5173,".",B5173)</f>
        <v>11.8</v>
      </c>
      <c r="F5173" s="45" t="s">
        <v>5506</v>
      </c>
      <c r="G5173" s="13"/>
      <c r="H5173" s="14" t="s">
        <v>5507</v>
      </c>
      <c r="I5173" s="15"/>
      <c r="J5173" s="16"/>
      <c r="K5173" s="17"/>
      <c r="L5173" s="16"/>
      <c r="M5173" s="17"/>
      <c r="N5173" s="18"/>
      <c r="O5173" s="19"/>
      <c r="P5173" s="185"/>
      <c r="Q5173" s="185"/>
    </row>
    <row r="5174" spans="1:17" hidden="1" outlineLevel="1">
      <c r="A5174" s="2">
        <v>11</v>
      </c>
      <c r="B5174" s="2">
        <v>8</v>
      </c>
      <c r="C5174" s="2">
        <f>C5153+1</f>
        <v>1</v>
      </c>
      <c r="E5174" s="20" t="str">
        <f>CONCATENATE(A5174,".",B5174,".",C5174)</f>
        <v>11.8.1</v>
      </c>
      <c r="F5174" s="21" t="s">
        <v>5508</v>
      </c>
      <c r="G5174" s="74">
        <v>403643</v>
      </c>
      <c r="H5174" s="23" t="s">
        <v>5507</v>
      </c>
      <c r="I5174" s="24" t="s">
        <v>36</v>
      </c>
      <c r="J5174" s="32"/>
      <c r="K5174" s="10"/>
      <c r="L5174" s="32"/>
      <c r="M5174" s="10"/>
      <c r="N5174" s="33"/>
      <c r="O5174" s="11">
        <f>SUM(O5175)</f>
        <v>1</v>
      </c>
      <c r="P5174" s="185"/>
    </row>
    <row r="5175" spans="1:17" hidden="1" outlineLevel="1">
      <c r="E5175" s="59"/>
      <c r="F5175" s="60"/>
      <c r="G5175" s="34"/>
      <c r="H5175" s="30"/>
      <c r="I5175" s="35"/>
      <c r="J5175" s="41"/>
      <c r="K5175" s="10"/>
      <c r="L5175" s="32"/>
      <c r="M5175" s="10"/>
      <c r="N5175" s="33">
        <v>1</v>
      </c>
      <c r="O5175" s="31">
        <f>ROUND(PRODUCT(J5175:N5175),2)</f>
        <v>1</v>
      </c>
      <c r="P5175" s="185"/>
    </row>
    <row r="5176" spans="1:17" collapsed="1">
      <c r="A5176" s="2">
        <v>11</v>
      </c>
      <c r="B5176" s="2">
        <v>9</v>
      </c>
      <c r="E5176" s="42" t="str">
        <f>CONCATENATE(A5176,".",B5176)</f>
        <v>11.9</v>
      </c>
      <c r="F5176" s="45" t="s">
        <v>5509</v>
      </c>
      <c r="G5176" s="13"/>
      <c r="H5176" s="14" t="s">
        <v>5510</v>
      </c>
      <c r="I5176" s="15"/>
      <c r="J5176" s="16"/>
      <c r="K5176" s="17"/>
      <c r="L5176" s="16"/>
      <c r="M5176" s="17"/>
      <c r="N5176" s="18"/>
      <c r="O5176" s="19"/>
      <c r="P5176" s="185"/>
      <c r="Q5176" s="185"/>
    </row>
    <row r="5177" spans="1:17" ht="30" hidden="1" outlineLevel="1">
      <c r="A5177" s="2">
        <v>11</v>
      </c>
      <c r="B5177" s="2">
        <v>9</v>
      </c>
      <c r="C5177" s="2" t="e">
        <f>1+#REF!</f>
        <v>#REF!</v>
      </c>
      <c r="E5177" s="20" t="e">
        <f>CONCATENATE(A5177,".",B5177,".",C5177)</f>
        <v>#REF!</v>
      </c>
      <c r="F5177" s="21" t="s">
        <v>5511</v>
      </c>
      <c r="G5177" s="22">
        <v>92769</v>
      </c>
      <c r="H5177" s="23" t="s">
        <v>107</v>
      </c>
      <c r="I5177" s="24" t="s">
        <v>80</v>
      </c>
      <c r="J5177" s="25"/>
      <c r="K5177" s="10"/>
      <c r="L5177" s="32"/>
      <c r="M5177" s="10"/>
      <c r="N5177" s="33"/>
      <c r="O5177" s="27">
        <f>SUM(O5178:O5178)</f>
        <v>1586.34</v>
      </c>
      <c r="P5177" s="185"/>
      <c r="Q5177" s="185"/>
    </row>
    <row r="5178" spans="1:17" hidden="1" outlineLevel="1">
      <c r="E5178" s="20"/>
      <c r="F5178" s="21"/>
      <c r="G5178" s="34"/>
      <c r="H5178" s="30" t="s">
        <v>5512</v>
      </c>
      <c r="I5178" s="35"/>
      <c r="J5178" s="40">
        <v>1.1000000000000001</v>
      </c>
      <c r="K5178" s="33"/>
      <c r="L5178" s="41"/>
      <c r="M5178" s="33"/>
      <c r="N5178" s="33">
        <v>1442.13</v>
      </c>
      <c r="O5178" s="31">
        <f>ROUND(PRODUCT(J5178:N5178),2)</f>
        <v>1586.34</v>
      </c>
      <c r="P5178" s="185"/>
      <c r="Q5178" s="185"/>
    </row>
    <row r="5179" spans="1:17" ht="30" hidden="1" outlineLevel="1">
      <c r="A5179" s="2">
        <v>11</v>
      </c>
      <c r="B5179" s="2">
        <v>9</v>
      </c>
      <c r="C5179" s="2" t="e">
        <f>C5177+1</f>
        <v>#REF!</v>
      </c>
      <c r="E5179" s="20" t="e">
        <f>CONCATENATE(A5179,".",B5179,".",C5179)</f>
        <v>#REF!</v>
      </c>
      <c r="F5179" s="21" t="s">
        <v>5513</v>
      </c>
      <c r="G5179" s="22">
        <v>92770</v>
      </c>
      <c r="H5179" s="23" t="s">
        <v>110</v>
      </c>
      <c r="I5179" s="24" t="s">
        <v>80</v>
      </c>
      <c r="J5179" s="25"/>
      <c r="K5179" s="10"/>
      <c r="L5179" s="32"/>
      <c r="M5179" s="10"/>
      <c r="N5179" s="33"/>
      <c r="O5179" s="27">
        <f>SUM(O5180:O5182)</f>
        <v>4778.28</v>
      </c>
      <c r="P5179" s="185"/>
      <c r="Q5179" s="185"/>
    </row>
    <row r="5180" spans="1:17" hidden="1" outlineLevel="1">
      <c r="E5180" s="20"/>
      <c r="F5180" s="21"/>
      <c r="G5180" s="34"/>
      <c r="H5180" s="30" t="s">
        <v>76</v>
      </c>
      <c r="I5180" s="35"/>
      <c r="J5180" s="40">
        <v>1.1000000000000001</v>
      </c>
      <c r="K5180" s="33">
        <v>5032.12</v>
      </c>
      <c r="L5180" s="41"/>
      <c r="M5180" s="33">
        <v>0.39500000000000002</v>
      </c>
      <c r="N5180" s="33"/>
      <c r="O5180" s="31">
        <f>ROUND(PRODUCT(J5180:N5180),2)</f>
        <v>2186.46</v>
      </c>
      <c r="P5180" s="185"/>
      <c r="Q5180" s="185"/>
    </row>
    <row r="5181" spans="1:17" hidden="1" outlineLevel="1">
      <c r="E5181" s="20"/>
      <c r="F5181" s="21"/>
      <c r="G5181" s="34"/>
      <c r="H5181" s="30" t="s">
        <v>5512</v>
      </c>
      <c r="I5181" s="35"/>
      <c r="J5181" s="40">
        <v>1.1000000000000001</v>
      </c>
      <c r="K5181" s="33"/>
      <c r="L5181" s="41"/>
      <c r="M5181" s="33"/>
      <c r="N5181" s="33">
        <v>2170.84</v>
      </c>
      <c r="O5181" s="31">
        <f>ROUND(PRODUCT(J5181:N5181),2)</f>
        <v>2387.92</v>
      </c>
      <c r="P5181" s="185"/>
      <c r="Q5181" s="185"/>
    </row>
    <row r="5182" spans="1:17" hidden="1" outlineLevel="1">
      <c r="E5182" s="20"/>
      <c r="F5182" s="21"/>
      <c r="G5182" s="34"/>
      <c r="H5182" s="30" t="s">
        <v>76</v>
      </c>
      <c r="I5182" s="35"/>
      <c r="J5182" s="40">
        <v>1.1000000000000001</v>
      </c>
      <c r="K5182" s="33">
        <v>469.28</v>
      </c>
      <c r="L5182" s="41"/>
      <c r="M5182" s="33">
        <v>0.39500000000000002</v>
      </c>
      <c r="N5182" s="33"/>
      <c r="O5182" s="31">
        <f>ROUND(PRODUCT(J5182:N5182),2)</f>
        <v>203.9</v>
      </c>
      <c r="P5182" s="185"/>
      <c r="Q5182" s="185"/>
    </row>
    <row r="5183" spans="1:17" ht="30" hidden="1" outlineLevel="1">
      <c r="A5183" s="2">
        <v>11</v>
      </c>
      <c r="B5183" s="2">
        <v>9</v>
      </c>
      <c r="C5183" s="2" t="e">
        <f>C5179+1</f>
        <v>#REF!</v>
      </c>
      <c r="E5183" s="20" t="e">
        <f>CONCATENATE(A5183,".",B5183,".",C5183)</f>
        <v>#REF!</v>
      </c>
      <c r="F5183" s="21" t="s">
        <v>5514</v>
      </c>
      <c r="G5183" s="22">
        <v>92771</v>
      </c>
      <c r="H5183" s="23" t="s">
        <v>113</v>
      </c>
      <c r="I5183" s="24" t="s">
        <v>80</v>
      </c>
      <c r="J5183" s="25"/>
      <c r="K5183" s="10"/>
      <c r="L5183" s="32"/>
      <c r="M5183" s="10"/>
      <c r="N5183" s="33"/>
      <c r="O5183" s="27">
        <f>SUM(O5184:O5188)</f>
        <v>3866.1799999999994</v>
      </c>
      <c r="P5183" s="185"/>
      <c r="Q5183" s="185"/>
    </row>
    <row r="5184" spans="1:17" hidden="1" outlineLevel="1">
      <c r="E5184" s="20"/>
      <c r="F5184" s="21"/>
      <c r="G5184" s="34"/>
      <c r="H5184" s="30" t="s">
        <v>76</v>
      </c>
      <c r="I5184" s="35"/>
      <c r="J5184" s="40">
        <v>1.1000000000000001</v>
      </c>
      <c r="K5184" s="33">
        <v>3055.77</v>
      </c>
      <c r="L5184" s="41"/>
      <c r="M5184" s="33">
        <v>0.61699999999999999</v>
      </c>
      <c r="N5184" s="33"/>
      <c r="O5184" s="31">
        <f>ROUND(PRODUCT(J5184:N5184),2)</f>
        <v>2073.9499999999998</v>
      </c>
      <c r="P5184" s="185"/>
      <c r="Q5184" s="185"/>
    </row>
    <row r="5185" spans="1:17" hidden="1" outlineLevel="1">
      <c r="E5185" s="20"/>
      <c r="F5185" s="21"/>
      <c r="G5185" s="34"/>
      <c r="H5185" s="30" t="s">
        <v>76</v>
      </c>
      <c r="I5185" s="35"/>
      <c r="J5185" s="40">
        <v>1.1000000000000001</v>
      </c>
      <c r="K5185" s="33">
        <v>14.48</v>
      </c>
      <c r="L5185" s="41"/>
      <c r="M5185" s="33">
        <v>0.61699999999999999</v>
      </c>
      <c r="N5185" s="33"/>
      <c r="O5185" s="31">
        <f>ROUND(PRODUCT(J5185:N5185),2)</f>
        <v>9.83</v>
      </c>
      <c r="P5185" s="185"/>
      <c r="Q5185" s="185"/>
    </row>
    <row r="5186" spans="1:17" hidden="1" outlineLevel="1">
      <c r="E5186" s="20"/>
      <c r="F5186" s="21"/>
      <c r="G5186" s="34"/>
      <c r="H5186" s="30" t="s">
        <v>5515</v>
      </c>
      <c r="I5186" s="35"/>
      <c r="J5186" s="40">
        <v>1.1000000000000001</v>
      </c>
      <c r="K5186" s="33"/>
      <c r="L5186" s="41"/>
      <c r="M5186" s="33">
        <v>386.29</v>
      </c>
      <c r="N5186" s="33"/>
      <c r="O5186" s="31">
        <f>ROUND(PRODUCT(J5186:N5186),2)</f>
        <v>424.92</v>
      </c>
      <c r="P5186" s="185"/>
      <c r="Q5186" s="185"/>
    </row>
    <row r="5187" spans="1:17" hidden="1" outlineLevel="1">
      <c r="E5187" s="20"/>
      <c r="F5187" s="21"/>
      <c r="G5187" s="34"/>
      <c r="H5187" s="30" t="s">
        <v>5512</v>
      </c>
      <c r="I5187" s="35"/>
      <c r="J5187" s="40">
        <v>1.1000000000000001</v>
      </c>
      <c r="K5187" s="33"/>
      <c r="L5187" s="41"/>
      <c r="M5187" s="33"/>
      <c r="N5187" s="33">
        <v>995.1</v>
      </c>
      <c r="O5187" s="31">
        <f>ROUND(PRODUCT(J5187:N5187),2)</f>
        <v>1094.6099999999999</v>
      </c>
      <c r="P5187" s="185"/>
      <c r="Q5187" s="185"/>
    </row>
    <row r="5188" spans="1:17" hidden="1" outlineLevel="1">
      <c r="E5188" s="20"/>
      <c r="F5188" s="21"/>
      <c r="G5188" s="34"/>
      <c r="H5188" s="30" t="s">
        <v>76</v>
      </c>
      <c r="I5188" s="35"/>
      <c r="J5188" s="40">
        <v>1.1000000000000001</v>
      </c>
      <c r="K5188" s="33">
        <v>387.32</v>
      </c>
      <c r="L5188" s="41"/>
      <c r="M5188" s="33">
        <v>0.61699999999999999</v>
      </c>
      <c r="N5188" s="33"/>
      <c r="O5188" s="31">
        <f>ROUND(PRODUCT(J5188:N5188),2)</f>
        <v>262.87</v>
      </c>
      <c r="P5188" s="185"/>
      <c r="Q5188" s="185"/>
    </row>
    <row r="5189" spans="1:17" ht="30" hidden="1" outlineLevel="1">
      <c r="A5189" s="2">
        <v>11</v>
      </c>
      <c r="B5189" s="2">
        <v>9</v>
      </c>
      <c r="C5189" s="2" t="e">
        <f>C5183+1</f>
        <v>#REF!</v>
      </c>
      <c r="E5189" s="20" t="e">
        <f>CONCATENATE(A5189,".",B5189,".",C5189)</f>
        <v>#REF!</v>
      </c>
      <c r="F5189" s="21" t="s">
        <v>5516</v>
      </c>
      <c r="G5189" s="22">
        <v>92772</v>
      </c>
      <c r="H5189" s="23" t="s">
        <v>116</v>
      </c>
      <c r="I5189" s="24" t="s">
        <v>80</v>
      </c>
      <c r="J5189" s="25"/>
      <c r="K5189" s="10"/>
      <c r="L5189" s="32"/>
      <c r="M5189" s="10"/>
      <c r="N5189" s="33"/>
      <c r="O5189" s="27">
        <f>SUM(O5190:O5192)</f>
        <v>8779.32</v>
      </c>
      <c r="P5189" s="185"/>
      <c r="Q5189" s="185"/>
    </row>
    <row r="5190" spans="1:17" hidden="1" outlineLevel="1">
      <c r="E5190" s="20"/>
      <c r="F5190" s="21"/>
      <c r="G5190" s="34"/>
      <c r="H5190" s="30" t="s">
        <v>76</v>
      </c>
      <c r="I5190" s="35"/>
      <c r="J5190" s="40">
        <v>1.1000000000000001</v>
      </c>
      <c r="K5190" s="33">
        <v>833.18</v>
      </c>
      <c r="L5190" s="41"/>
      <c r="M5190" s="33">
        <v>0.96299999999999997</v>
      </c>
      <c r="N5190" s="33"/>
      <c r="O5190" s="31">
        <f>ROUND(PRODUCT(J5190:N5190),2)</f>
        <v>882.59</v>
      </c>
      <c r="P5190" s="185"/>
      <c r="Q5190" s="185"/>
    </row>
    <row r="5191" spans="1:17" hidden="1" outlineLevel="1">
      <c r="E5191" s="20"/>
      <c r="F5191" s="21"/>
      <c r="G5191" s="34"/>
      <c r="H5191" s="30" t="s">
        <v>5515</v>
      </c>
      <c r="I5191" s="35"/>
      <c r="J5191" s="40">
        <v>1.1000000000000001</v>
      </c>
      <c r="K5191" s="33"/>
      <c r="L5191" s="41"/>
      <c r="M5191" s="33">
        <v>602.91</v>
      </c>
      <c r="N5191" s="33"/>
      <c r="O5191" s="31">
        <f>ROUND(PRODUCT(J5191:N5191),2)</f>
        <v>663.2</v>
      </c>
      <c r="P5191" s="185"/>
      <c r="Q5191" s="185"/>
    </row>
    <row r="5192" spans="1:17" hidden="1" outlineLevel="1">
      <c r="E5192" s="20"/>
      <c r="F5192" s="21"/>
      <c r="G5192" s="34"/>
      <c r="H5192" s="30" t="s">
        <v>5512</v>
      </c>
      <c r="I5192" s="35"/>
      <c r="J5192" s="40">
        <v>1.1000000000000001</v>
      </c>
      <c r="K5192" s="33"/>
      <c r="L5192" s="41"/>
      <c r="M5192" s="33"/>
      <c r="N5192" s="33">
        <v>6575.94</v>
      </c>
      <c r="O5192" s="31">
        <f>ROUND(PRODUCT(J5192:N5192),2)</f>
        <v>7233.53</v>
      </c>
      <c r="P5192" s="185"/>
      <c r="Q5192" s="185"/>
    </row>
    <row r="5193" spans="1:17" ht="30" hidden="1" outlineLevel="1">
      <c r="A5193" s="2">
        <v>11</v>
      </c>
      <c r="B5193" s="2">
        <v>9</v>
      </c>
      <c r="C5193" s="2" t="e">
        <f>C5189+1</f>
        <v>#REF!</v>
      </c>
      <c r="E5193" s="20" t="e">
        <f>CONCATENATE(A5193,".",B5193,".",C5193)</f>
        <v>#REF!</v>
      </c>
      <c r="F5193" s="21" t="s">
        <v>5517</v>
      </c>
      <c r="G5193" s="22">
        <v>92773</v>
      </c>
      <c r="H5193" s="23" t="s">
        <v>1280</v>
      </c>
      <c r="I5193" s="24" t="s">
        <v>80</v>
      </c>
      <c r="J5193" s="25"/>
      <c r="K5193" s="10"/>
      <c r="L5193" s="32"/>
      <c r="M5193" s="10"/>
      <c r="N5193" s="33"/>
      <c r="O5193" s="27">
        <f>SUM(O5194:O5194)</f>
        <v>4145.7700000000004</v>
      </c>
      <c r="P5193" s="185"/>
      <c r="Q5193" s="185"/>
    </row>
    <row r="5194" spans="1:17" hidden="1" outlineLevel="1">
      <c r="E5194" s="20"/>
      <c r="F5194" s="21"/>
      <c r="G5194" s="34"/>
      <c r="H5194" s="30" t="s">
        <v>5512</v>
      </c>
      <c r="I5194" s="35"/>
      <c r="J5194" s="40">
        <v>1.1000000000000001</v>
      </c>
      <c r="K5194" s="33"/>
      <c r="L5194" s="41"/>
      <c r="M5194" s="33"/>
      <c r="N5194" s="33">
        <v>3768.88</v>
      </c>
      <c r="O5194" s="31">
        <f>ROUND(PRODUCT(J5194:N5194),2)</f>
        <v>4145.7700000000004</v>
      </c>
      <c r="P5194" s="185"/>
      <c r="Q5194" s="185"/>
    </row>
    <row r="5195" spans="1:17" ht="45" hidden="1" outlineLevel="1">
      <c r="A5195" s="2">
        <v>11</v>
      </c>
      <c r="B5195" s="2">
        <v>9</v>
      </c>
      <c r="C5195" s="2" t="e">
        <f>C5193+1</f>
        <v>#REF!</v>
      </c>
      <c r="E5195" s="20" t="e">
        <f>CONCATENATE(A5195,".",B5195,".",C5195)</f>
        <v>#REF!</v>
      </c>
      <c r="F5195" s="21" t="s">
        <v>5518</v>
      </c>
      <c r="G5195" s="22">
        <v>92431</v>
      </c>
      <c r="H5195" s="23" t="s">
        <v>965</v>
      </c>
      <c r="I5195" s="24" t="s">
        <v>276</v>
      </c>
      <c r="J5195" s="25"/>
      <c r="K5195" s="10"/>
      <c r="L5195" s="32"/>
      <c r="M5195" s="10"/>
      <c r="N5195" s="33"/>
      <c r="O5195" s="27">
        <f>SUM(O5196:O5197)</f>
        <v>608.11</v>
      </c>
      <c r="P5195" s="185"/>
      <c r="Q5195" s="185"/>
    </row>
    <row r="5196" spans="1:17" hidden="1" outlineLevel="1">
      <c r="E5196" s="20"/>
      <c r="F5196" s="21"/>
      <c r="G5196" s="34"/>
      <c r="H5196" s="30" t="s">
        <v>76</v>
      </c>
      <c r="I5196" s="35"/>
      <c r="J5196" s="40"/>
      <c r="K5196" s="33"/>
      <c r="L5196" s="41"/>
      <c r="M5196" s="33"/>
      <c r="N5196" s="33">
        <v>509.41</v>
      </c>
      <c r="O5196" s="31">
        <f>ROUND(PRODUCT(J5196:N5196),2)</f>
        <v>509.41</v>
      </c>
      <c r="P5196" s="185"/>
      <c r="Q5196" s="185"/>
    </row>
    <row r="5197" spans="1:17" hidden="1" outlineLevel="1">
      <c r="E5197" s="20"/>
      <c r="F5197" s="21"/>
      <c r="G5197" s="34"/>
      <c r="H5197" s="30" t="s">
        <v>5515</v>
      </c>
      <c r="I5197" s="35"/>
      <c r="J5197" s="40"/>
      <c r="K5197" s="33"/>
      <c r="L5197" s="41"/>
      <c r="M5197" s="33"/>
      <c r="N5197" s="33">
        <v>98.7</v>
      </c>
      <c r="O5197" s="31">
        <f>ROUND(PRODUCT(J5197:N5197),2)</f>
        <v>98.7</v>
      </c>
      <c r="P5197" s="185"/>
      <c r="Q5197" s="185"/>
    </row>
    <row r="5198" spans="1:17" ht="30" hidden="1" outlineLevel="1">
      <c r="A5198" s="2">
        <v>11</v>
      </c>
      <c r="B5198" s="2">
        <v>9</v>
      </c>
      <c r="C5198" s="2" t="e">
        <f>C5195+1</f>
        <v>#REF!</v>
      </c>
      <c r="E5198" s="20" t="e">
        <f>CONCATENATE(A5198,".",B5198,".",C5198)</f>
        <v>#REF!</v>
      </c>
      <c r="F5198" s="21" t="s">
        <v>5519</v>
      </c>
      <c r="G5198" s="22">
        <v>92264</v>
      </c>
      <c r="H5198" s="23" t="s">
        <v>5520</v>
      </c>
      <c r="I5198" s="24" t="s">
        <v>276</v>
      </c>
      <c r="J5198" s="25"/>
      <c r="K5198" s="10"/>
      <c r="L5198" s="32"/>
      <c r="M5198" s="10"/>
      <c r="N5198" s="33"/>
      <c r="O5198" s="27">
        <f>SUM(O5199:O5200)</f>
        <v>524.77</v>
      </c>
      <c r="P5198" s="185"/>
      <c r="Q5198" s="185"/>
    </row>
    <row r="5199" spans="1:17" hidden="1" outlineLevel="1">
      <c r="E5199" s="20"/>
      <c r="F5199" s="21"/>
      <c r="G5199" s="34"/>
      <c r="H5199" s="30" t="s">
        <v>76</v>
      </c>
      <c r="I5199" s="35"/>
      <c r="J5199" s="40"/>
      <c r="K5199" s="33"/>
      <c r="L5199" s="41"/>
      <c r="M5199" s="33"/>
      <c r="N5199" s="33">
        <v>509.41</v>
      </c>
      <c r="O5199" s="31">
        <f>ROUND(PRODUCT(J5199:N5199),2)</f>
        <v>509.41</v>
      </c>
      <c r="P5199" s="185"/>
      <c r="Q5199" s="185"/>
    </row>
    <row r="5200" spans="1:17" hidden="1" outlineLevel="1">
      <c r="E5200" s="20"/>
      <c r="F5200" s="21"/>
      <c r="G5200" s="34"/>
      <c r="H5200" s="30" t="s">
        <v>5515</v>
      </c>
      <c r="I5200" s="35"/>
      <c r="J5200" s="40"/>
      <c r="K5200" s="33"/>
      <c r="L5200" s="41"/>
      <c r="M5200" s="33"/>
      <c r="N5200" s="33">
        <v>15.36</v>
      </c>
      <c r="O5200" s="31">
        <f>ROUND(PRODUCT(J5200:N5200),2)</f>
        <v>15.36</v>
      </c>
      <c r="P5200" s="185"/>
      <c r="Q5200" s="185"/>
    </row>
    <row r="5201" spans="1:17" ht="45" hidden="1" outlineLevel="1">
      <c r="A5201" s="2">
        <v>11</v>
      </c>
      <c r="B5201" s="2">
        <v>9</v>
      </c>
      <c r="C5201" s="2" t="e">
        <f>C5198+1</f>
        <v>#REF!</v>
      </c>
      <c r="E5201" s="20" t="e">
        <f>CONCATENATE(A5201,".",B5201,".",C5201)</f>
        <v>#REF!</v>
      </c>
      <c r="F5201" s="21" t="s">
        <v>5521</v>
      </c>
      <c r="G5201" s="22" t="s">
        <v>5522</v>
      </c>
      <c r="H5201" s="23" t="s">
        <v>2846</v>
      </c>
      <c r="I5201" s="24" t="s">
        <v>2815</v>
      </c>
      <c r="J5201" s="25"/>
      <c r="K5201" s="10"/>
      <c r="L5201" s="32"/>
      <c r="M5201" s="10"/>
      <c r="N5201" s="33"/>
      <c r="O5201" s="27">
        <f>SUM(O5202:O5205)</f>
        <v>180.83999999999997</v>
      </c>
      <c r="P5201" s="185"/>
      <c r="Q5201" s="185"/>
    </row>
    <row r="5202" spans="1:17" hidden="1" outlineLevel="1">
      <c r="E5202" s="20"/>
      <c r="F5202" s="21"/>
      <c r="G5202" s="34"/>
      <c r="H5202" s="30" t="s">
        <v>76</v>
      </c>
      <c r="I5202" s="35"/>
      <c r="J5202" s="40"/>
      <c r="K5202" s="33"/>
      <c r="L5202" s="41"/>
      <c r="M5202" s="33"/>
      <c r="N5202" s="33">
        <v>52.05</v>
      </c>
      <c r="O5202" s="31">
        <f>ROUND(PRODUCT(J5202:N5202),2)</f>
        <v>52.05</v>
      </c>
      <c r="P5202" s="185"/>
      <c r="Q5202" s="185"/>
    </row>
    <row r="5203" spans="1:17" hidden="1" outlineLevel="1">
      <c r="E5203" s="20"/>
      <c r="F5203" s="21"/>
      <c r="G5203" s="34"/>
      <c r="H5203" s="30" t="s">
        <v>5512</v>
      </c>
      <c r="I5203" s="35"/>
      <c r="J5203" s="40"/>
      <c r="K5203" s="33"/>
      <c r="L5203" s="41"/>
      <c r="M5203" s="33"/>
      <c r="N5203" s="33">
        <v>98.7</v>
      </c>
      <c r="O5203" s="31">
        <f>ROUND(PRODUCT(J5203:N5203),2)</f>
        <v>98.7</v>
      </c>
      <c r="P5203" s="185"/>
      <c r="Q5203" s="185"/>
    </row>
    <row r="5204" spans="1:17" hidden="1" outlineLevel="1">
      <c r="E5204" s="20"/>
      <c r="F5204" s="21"/>
      <c r="G5204" s="34"/>
      <c r="H5204" s="30" t="s">
        <v>5515</v>
      </c>
      <c r="I5204" s="35"/>
      <c r="J5204" s="40"/>
      <c r="K5204" s="33"/>
      <c r="L5204" s="41"/>
      <c r="M5204" s="33"/>
      <c r="N5204" s="33">
        <v>24.58</v>
      </c>
      <c r="O5204" s="31">
        <f>ROUND(PRODUCT(J5204:N5204),2)</f>
        <v>24.58</v>
      </c>
      <c r="P5204" s="185"/>
      <c r="Q5204" s="185"/>
    </row>
    <row r="5205" spans="1:17" hidden="1" outlineLevel="1">
      <c r="E5205" s="20"/>
      <c r="F5205" s="21"/>
      <c r="G5205" s="34"/>
      <c r="H5205" s="30" t="s">
        <v>5523</v>
      </c>
      <c r="I5205" s="35"/>
      <c r="J5205" s="40"/>
      <c r="K5205" s="33"/>
      <c r="L5205" s="41"/>
      <c r="M5205" s="33"/>
      <c r="N5205" s="33">
        <v>5.51</v>
      </c>
      <c r="O5205" s="31">
        <f>ROUND(PRODUCT(J5205:N5205),2)</f>
        <v>5.51</v>
      </c>
      <c r="P5205" s="185"/>
      <c r="Q5205" s="185"/>
    </row>
    <row r="5206" spans="1:17" ht="30" hidden="1" outlineLevel="1">
      <c r="A5206" s="2">
        <v>11</v>
      </c>
      <c r="B5206" s="2">
        <v>9</v>
      </c>
      <c r="C5206" s="2" t="e">
        <f>C5201+1</f>
        <v>#REF!</v>
      </c>
      <c r="E5206" s="20" t="e">
        <f>CONCATENATE(A5206,".",B5206,".",C5206)</f>
        <v>#REF!</v>
      </c>
      <c r="F5206" s="21" t="s">
        <v>5524</v>
      </c>
      <c r="G5206" s="22">
        <v>98557</v>
      </c>
      <c r="H5206" s="23" t="s">
        <v>202</v>
      </c>
      <c r="I5206" s="24" t="s">
        <v>45</v>
      </c>
      <c r="J5206" s="32"/>
      <c r="K5206" s="10"/>
      <c r="L5206" s="32"/>
      <c r="M5206" s="10"/>
      <c r="N5206" s="10"/>
      <c r="O5206" s="27">
        <f>SUM(O5207:O5208)</f>
        <v>141.81</v>
      </c>
      <c r="P5206" s="28"/>
      <c r="Q5206" s="185"/>
    </row>
    <row r="5207" spans="1:17" hidden="1" outlineLevel="1">
      <c r="E5207" s="20"/>
      <c r="F5207" s="21"/>
      <c r="G5207" s="22"/>
      <c r="H5207" s="30" t="s">
        <v>5525</v>
      </c>
      <c r="I5207" s="35"/>
      <c r="J5207" s="41"/>
      <c r="K5207" s="33"/>
      <c r="L5207" s="41"/>
      <c r="M5207" s="33"/>
      <c r="N5207" s="33">
        <v>41.24</v>
      </c>
      <c r="O5207" s="58">
        <f>ROUND(PRODUCT(J5207:N5207),2)</f>
        <v>41.24</v>
      </c>
      <c r="P5207" s="185"/>
      <c r="Q5207" s="185"/>
    </row>
    <row r="5208" spans="1:17" hidden="1" outlineLevel="1">
      <c r="E5208" s="20"/>
      <c r="F5208" s="21"/>
      <c r="G5208" s="22"/>
      <c r="H5208" s="30"/>
      <c r="I5208" s="35"/>
      <c r="J5208" s="41"/>
      <c r="K5208" s="33"/>
      <c r="L5208" s="41"/>
      <c r="M5208" s="33"/>
      <c r="N5208" s="33">
        <f>44.25+56.32</f>
        <v>100.57</v>
      </c>
      <c r="O5208" s="58">
        <f>ROUND(PRODUCT(J5208:N5208),2)</f>
        <v>100.57</v>
      </c>
      <c r="P5208" s="28"/>
      <c r="Q5208" s="185"/>
    </row>
    <row r="5209" spans="1:17" ht="30" hidden="1" outlineLevel="1">
      <c r="A5209" s="2">
        <v>11</v>
      </c>
      <c r="B5209" s="2">
        <v>9</v>
      </c>
      <c r="C5209" s="2" t="e">
        <f>C5206+1</f>
        <v>#REF!</v>
      </c>
      <c r="E5209" s="20" t="e">
        <f>CONCATENATE(A5209,".",B5209,".",C5209)</f>
        <v>#REF!</v>
      </c>
      <c r="F5209" s="21" t="s">
        <v>5526</v>
      </c>
      <c r="G5209" s="22" t="s">
        <v>5527</v>
      </c>
      <c r="H5209" s="23" t="s">
        <v>5528</v>
      </c>
      <c r="I5209" s="24" t="s">
        <v>276</v>
      </c>
      <c r="J5209" s="32"/>
      <c r="K5209" s="10"/>
      <c r="L5209" s="32"/>
      <c r="M5209" s="10"/>
      <c r="N5209" s="10"/>
      <c r="O5209" s="11">
        <f>SUM(O5210:O5212)</f>
        <v>426.40999999999997</v>
      </c>
      <c r="P5209" s="28"/>
      <c r="Q5209" s="185"/>
    </row>
    <row r="5210" spans="1:17" hidden="1" outlineLevel="1">
      <c r="E5210" s="20"/>
      <c r="F5210" s="21"/>
      <c r="G5210" s="22"/>
      <c r="H5210" s="30"/>
      <c r="I5210" s="24"/>
      <c r="J5210" s="32"/>
      <c r="K5210" s="33"/>
      <c r="L5210" s="41"/>
      <c r="M5210" s="33"/>
      <c r="N5210" s="33">
        <v>118.94</v>
      </c>
      <c r="O5210" s="58">
        <f>ROUND(PRODUCT(J5210:N5210),2)</f>
        <v>118.94</v>
      </c>
      <c r="P5210" s="185"/>
      <c r="Q5210" s="185"/>
    </row>
    <row r="5211" spans="1:17" hidden="1" outlineLevel="1">
      <c r="E5211" s="20"/>
      <c r="F5211" s="21"/>
      <c r="G5211" s="34"/>
      <c r="H5211" s="30" t="s">
        <v>5512</v>
      </c>
      <c r="I5211" s="35"/>
      <c r="J5211" s="40"/>
      <c r="K5211" s="33">
        <v>25.32</v>
      </c>
      <c r="L5211" s="41">
        <v>7.48</v>
      </c>
      <c r="M5211" s="33"/>
      <c r="N5211" s="33"/>
      <c r="O5211" s="31">
        <f>ROUND(PRODUCT(J5211:N5211),2)</f>
        <v>189.39</v>
      </c>
      <c r="P5211" s="185"/>
      <c r="Q5211" s="185"/>
    </row>
    <row r="5212" spans="1:17" hidden="1" outlineLevel="1">
      <c r="E5212" s="20"/>
      <c r="F5212" s="21"/>
      <c r="G5212" s="34"/>
      <c r="H5212" s="30" t="s">
        <v>5512</v>
      </c>
      <c r="I5212" s="35"/>
      <c r="J5212" s="40"/>
      <c r="K5212" s="33">
        <f>(25.32+7.48)*2</f>
        <v>65.599999999999994</v>
      </c>
      <c r="L5212" s="41"/>
      <c r="M5212" s="33">
        <v>1.8</v>
      </c>
      <c r="N5212" s="33"/>
      <c r="O5212" s="31">
        <f>ROUND(PRODUCT(J5212:N5212),2)</f>
        <v>118.08</v>
      </c>
      <c r="P5212" s="185"/>
      <c r="Q5212" s="185"/>
    </row>
    <row r="5213" spans="1:17" ht="30" hidden="1" outlineLevel="1">
      <c r="A5213" s="2">
        <v>11</v>
      </c>
      <c r="B5213" s="2">
        <v>9</v>
      </c>
      <c r="C5213" s="2" t="e">
        <f>C5209+1</f>
        <v>#REF!</v>
      </c>
      <c r="E5213" s="20" t="e">
        <f>CONCATENATE(A5213,".",B5213,".",C5213)</f>
        <v>#REF!</v>
      </c>
      <c r="F5213" s="21" t="s">
        <v>5529</v>
      </c>
      <c r="G5213" s="22" t="s">
        <v>195</v>
      </c>
      <c r="H5213" s="23" t="s">
        <v>196</v>
      </c>
      <c r="I5213" s="24" t="s">
        <v>45</v>
      </c>
      <c r="J5213" s="32"/>
      <c r="K5213" s="10"/>
      <c r="L5213" s="32"/>
      <c r="M5213" s="10"/>
      <c r="N5213" s="10"/>
      <c r="O5213" s="11">
        <f>SUM(O5214:O5217)</f>
        <v>426.40999999999997</v>
      </c>
      <c r="P5213" s="28"/>
      <c r="Q5213" s="185"/>
    </row>
    <row r="5214" spans="1:17" hidden="1" outlineLevel="1">
      <c r="E5214" s="59"/>
      <c r="F5214" s="60"/>
      <c r="G5214" s="34"/>
      <c r="H5214" s="30"/>
      <c r="I5214" s="35"/>
      <c r="J5214" s="41"/>
      <c r="K5214" s="33"/>
      <c r="L5214" s="41"/>
      <c r="M5214" s="33"/>
      <c r="N5214" s="33">
        <v>118.94</v>
      </c>
      <c r="O5214" s="58">
        <f>ROUND(PRODUCT(J5214:N5214),2)</f>
        <v>118.94</v>
      </c>
      <c r="P5214" s="185"/>
      <c r="Q5214" s="185"/>
    </row>
    <row r="5215" spans="1:17" hidden="1" outlineLevel="1">
      <c r="E5215" s="20"/>
      <c r="F5215" s="21"/>
      <c r="G5215" s="34"/>
      <c r="H5215" s="30" t="s">
        <v>5512</v>
      </c>
      <c r="I5215" s="35"/>
      <c r="J5215" s="40"/>
      <c r="K5215" s="33">
        <v>25.32</v>
      </c>
      <c r="L5215" s="41">
        <v>7.48</v>
      </c>
      <c r="M5215" s="33"/>
      <c r="N5215" s="33"/>
      <c r="O5215" s="31">
        <f>ROUND(PRODUCT(J5215:N5215),2)</f>
        <v>189.39</v>
      </c>
      <c r="P5215" s="185"/>
      <c r="Q5215" s="185"/>
    </row>
    <row r="5216" spans="1:17" hidden="1" outlineLevel="1">
      <c r="E5216" s="20"/>
      <c r="F5216" s="21"/>
      <c r="G5216" s="34"/>
      <c r="H5216" s="30" t="s">
        <v>5512</v>
      </c>
      <c r="I5216" s="35"/>
      <c r="J5216" s="40"/>
      <c r="K5216" s="33">
        <f>(25.32+7.48)*2</f>
        <v>65.599999999999994</v>
      </c>
      <c r="L5216" s="41"/>
      <c r="M5216" s="33">
        <v>1.8</v>
      </c>
      <c r="N5216" s="33"/>
      <c r="O5216" s="31">
        <f>ROUND(PRODUCT(J5216:N5216),2)</f>
        <v>118.08</v>
      </c>
      <c r="P5216" s="185"/>
      <c r="Q5216" s="185"/>
    </row>
    <row r="5217" spans="1:17" hidden="1" outlineLevel="1">
      <c r="E5217" s="59"/>
      <c r="F5217" s="60"/>
      <c r="G5217" s="34"/>
      <c r="H5217" s="30"/>
      <c r="I5217" s="35"/>
      <c r="J5217" s="41"/>
      <c r="K5217" s="33"/>
      <c r="L5217" s="41"/>
      <c r="M5217" s="33"/>
      <c r="N5217" s="33"/>
      <c r="O5217" s="58">
        <f>ROUND(PRODUCT(J5217:N5217),2)</f>
        <v>0</v>
      </c>
      <c r="P5217" s="185"/>
      <c r="Q5217" s="185"/>
    </row>
    <row r="5218" spans="1:17" ht="30" hidden="1" outlineLevel="1">
      <c r="A5218" s="2">
        <v>11</v>
      </c>
      <c r="B5218" s="2">
        <v>9</v>
      </c>
      <c r="C5218" s="2" t="e">
        <f>C5213+1</f>
        <v>#REF!</v>
      </c>
      <c r="E5218" s="20" t="e">
        <f>CONCATENATE(A5218,".",B5218,".",C5218)</f>
        <v>#REF!</v>
      </c>
      <c r="F5218" s="21" t="s">
        <v>5530</v>
      </c>
      <c r="G5218" s="22" t="s">
        <v>1303</v>
      </c>
      <c r="H5218" s="23" t="s">
        <v>1304</v>
      </c>
      <c r="I5218" s="24" t="s">
        <v>45</v>
      </c>
      <c r="J5218" s="32"/>
      <c r="K5218" s="10"/>
      <c r="L5218" s="32"/>
      <c r="M5218" s="10"/>
      <c r="N5218" s="10"/>
      <c r="O5218" s="11">
        <f>SUM(O5219:O5220)</f>
        <v>307.46999999999997</v>
      </c>
      <c r="P5218" s="28"/>
      <c r="Q5218" s="185"/>
    </row>
    <row r="5219" spans="1:17" hidden="1" outlineLevel="1">
      <c r="E5219" s="20"/>
      <c r="F5219" s="21"/>
      <c r="G5219" s="34"/>
      <c r="H5219" s="30" t="s">
        <v>5512</v>
      </c>
      <c r="I5219" s="35"/>
      <c r="J5219" s="40"/>
      <c r="K5219" s="33">
        <v>25.32</v>
      </c>
      <c r="L5219" s="41">
        <v>7.48</v>
      </c>
      <c r="M5219" s="33"/>
      <c r="N5219" s="33"/>
      <c r="O5219" s="31">
        <f>ROUND(PRODUCT(J5219:N5219),2)</f>
        <v>189.39</v>
      </c>
      <c r="P5219" s="185"/>
      <c r="Q5219" s="185"/>
    </row>
    <row r="5220" spans="1:17" hidden="1" outlineLevel="1">
      <c r="E5220" s="20"/>
      <c r="F5220" s="21"/>
      <c r="G5220" s="34"/>
      <c r="H5220" s="30" t="s">
        <v>5512</v>
      </c>
      <c r="I5220" s="35"/>
      <c r="J5220" s="40"/>
      <c r="K5220" s="33">
        <f>(25.32+7.48)*2</f>
        <v>65.599999999999994</v>
      </c>
      <c r="L5220" s="41"/>
      <c r="M5220" s="33">
        <v>1.8</v>
      </c>
      <c r="N5220" s="33"/>
      <c r="O5220" s="31">
        <f>ROUND(PRODUCT(J5220:N5220),2)</f>
        <v>118.08</v>
      </c>
      <c r="P5220" s="185"/>
      <c r="Q5220" s="185"/>
    </row>
    <row r="5221" spans="1:17" ht="30" hidden="1" outlineLevel="1">
      <c r="A5221" s="2">
        <v>11</v>
      </c>
      <c r="B5221" s="2">
        <v>9</v>
      </c>
      <c r="C5221" s="2" t="e">
        <f>1+C5218</f>
        <v>#REF!</v>
      </c>
      <c r="E5221" s="20" t="e">
        <f>CONCATENATE(A5221,".",B5221,".",C5221)</f>
        <v>#REF!</v>
      </c>
      <c r="F5221" s="21" t="s">
        <v>5531</v>
      </c>
      <c r="G5221" s="22">
        <v>96525</v>
      </c>
      <c r="H5221" s="23" t="s">
        <v>1974</v>
      </c>
      <c r="I5221" s="24" t="s">
        <v>126</v>
      </c>
      <c r="J5221" s="25"/>
      <c r="K5221" s="10"/>
      <c r="L5221" s="32"/>
      <c r="M5221" s="10"/>
      <c r="N5221" s="33"/>
      <c r="O5221" s="27">
        <f>SUM(O5222:O5223)</f>
        <v>750.48</v>
      </c>
      <c r="P5221" s="185"/>
      <c r="Q5221" s="185"/>
    </row>
    <row r="5222" spans="1:17" hidden="1" outlineLevel="1">
      <c r="E5222" s="20"/>
      <c r="F5222" s="21"/>
      <c r="G5222" s="34"/>
      <c r="H5222" s="30" t="s">
        <v>5515</v>
      </c>
      <c r="I5222" s="35"/>
      <c r="J5222" s="40"/>
      <c r="K5222" s="33"/>
      <c r="L5222" s="41"/>
      <c r="M5222" s="33"/>
      <c r="N5222" s="33">
        <v>24.58</v>
      </c>
      <c r="O5222" s="31">
        <f>ROUND(PRODUCT(J5222:N5222),2)</f>
        <v>24.58</v>
      </c>
      <c r="P5222" s="185"/>
      <c r="Q5222" s="185"/>
    </row>
    <row r="5223" spans="1:17" hidden="1" outlineLevel="1">
      <c r="E5223" s="20"/>
      <c r="F5223" s="21"/>
      <c r="G5223" s="34"/>
      <c r="H5223" s="30" t="s">
        <v>5512</v>
      </c>
      <c r="I5223" s="35"/>
      <c r="J5223" s="40"/>
      <c r="K5223" s="33"/>
      <c r="L5223" s="41"/>
      <c r="M5223" s="33"/>
      <c r="N5223" s="33">
        <v>725.9</v>
      </c>
      <c r="O5223" s="31">
        <f>ROUND(PRODUCT(J5223:N5223),2)</f>
        <v>725.9</v>
      </c>
      <c r="P5223" s="185"/>
      <c r="Q5223" s="185"/>
    </row>
    <row r="5224" spans="1:17" ht="30" hidden="1" outlineLevel="1">
      <c r="A5224" s="2">
        <v>11</v>
      </c>
      <c r="B5224" s="2">
        <v>9</v>
      </c>
      <c r="C5224" s="2" t="e">
        <f>1+C5221</f>
        <v>#REF!</v>
      </c>
      <c r="E5224" s="20" t="e">
        <f>CONCATENATE(A5224,".",B5224,".",C5224)</f>
        <v>#REF!</v>
      </c>
      <c r="F5224" s="21" t="s">
        <v>5532</v>
      </c>
      <c r="G5224" s="22">
        <v>96619</v>
      </c>
      <c r="H5224" s="23" t="s">
        <v>1977</v>
      </c>
      <c r="I5224" s="24" t="s">
        <v>45</v>
      </c>
      <c r="J5224" s="25"/>
      <c r="K5224" s="10"/>
      <c r="L5224" s="32"/>
      <c r="M5224" s="10"/>
      <c r="N5224" s="33"/>
      <c r="O5224" s="27">
        <f>SUM(O5225:O5225)</f>
        <v>196</v>
      </c>
      <c r="P5224" s="185"/>
      <c r="Q5224" s="185"/>
    </row>
    <row r="5225" spans="1:17" hidden="1" outlineLevel="1">
      <c r="E5225" s="20"/>
      <c r="F5225" s="21"/>
      <c r="G5225" s="34"/>
      <c r="H5225" s="30" t="s">
        <v>5512</v>
      </c>
      <c r="I5225" s="35"/>
      <c r="J5225" s="25"/>
      <c r="K5225" s="33"/>
      <c r="L5225" s="41"/>
      <c r="M5225" s="33"/>
      <c r="N5225" s="33">
        <f>9.8/0.05</f>
        <v>196</v>
      </c>
      <c r="O5225" s="31">
        <f>ROUND(PRODUCT(J5225:N5225),2)</f>
        <v>196</v>
      </c>
      <c r="P5225" s="185"/>
      <c r="Q5225" s="185"/>
    </row>
    <row r="5226" spans="1:17" ht="30" hidden="1" outlineLevel="1">
      <c r="A5226" s="2">
        <v>11</v>
      </c>
      <c r="B5226" s="2">
        <v>9</v>
      </c>
      <c r="C5226" s="2" t="e">
        <f>1+C5224</f>
        <v>#REF!</v>
      </c>
      <c r="E5226" s="20" t="e">
        <f>CONCATENATE(A5226,".",B5226,".",C5226)</f>
        <v>#REF!</v>
      </c>
      <c r="F5226" s="21" t="s">
        <v>5533</v>
      </c>
      <c r="G5226" s="22">
        <v>97086</v>
      </c>
      <c r="H5226" s="23" t="s">
        <v>5534</v>
      </c>
      <c r="I5226" s="24" t="s">
        <v>45</v>
      </c>
      <c r="J5226" s="25"/>
      <c r="K5226" s="10"/>
      <c r="L5226" s="32"/>
      <c r="M5226" s="10"/>
      <c r="N5226" s="33"/>
      <c r="O5226" s="27">
        <f>SUM(O5227:O5228)</f>
        <v>307.46999999999997</v>
      </c>
      <c r="P5226" s="185"/>
      <c r="Q5226" s="185"/>
    </row>
    <row r="5227" spans="1:17" hidden="1" outlineLevel="1">
      <c r="E5227" s="20"/>
      <c r="F5227" s="21"/>
      <c r="G5227" s="34"/>
      <c r="H5227" s="30" t="s">
        <v>5512</v>
      </c>
      <c r="I5227" s="35"/>
      <c r="J5227" s="40"/>
      <c r="K5227" s="33">
        <v>25.32</v>
      </c>
      <c r="L5227" s="41">
        <v>7.48</v>
      </c>
      <c r="M5227" s="33"/>
      <c r="N5227" s="33"/>
      <c r="O5227" s="31">
        <f>ROUND(PRODUCT(J5227:N5227),2)</f>
        <v>189.39</v>
      </c>
      <c r="P5227" s="185"/>
      <c r="Q5227" s="185"/>
    </row>
    <row r="5228" spans="1:17" hidden="1" outlineLevel="1">
      <c r="E5228" s="20"/>
      <c r="F5228" s="21"/>
      <c r="G5228" s="34"/>
      <c r="H5228" s="30" t="s">
        <v>5512</v>
      </c>
      <c r="I5228" s="35"/>
      <c r="J5228" s="40"/>
      <c r="K5228" s="33">
        <f>(25.32+7.48)*2</f>
        <v>65.599999999999994</v>
      </c>
      <c r="L5228" s="41"/>
      <c r="M5228" s="33">
        <v>1.8</v>
      </c>
      <c r="N5228" s="33"/>
      <c r="O5228" s="31">
        <f>ROUND(PRODUCT(J5228:N5228),2)</f>
        <v>118.08</v>
      </c>
      <c r="P5228" s="185"/>
      <c r="Q5228" s="185"/>
    </row>
    <row r="5229" spans="1:17" ht="30" hidden="1" outlineLevel="1">
      <c r="A5229" s="2">
        <v>11</v>
      </c>
      <c r="B5229" s="2">
        <v>9</v>
      </c>
      <c r="C5229" s="2" t="e">
        <f>1+C5226</f>
        <v>#REF!</v>
      </c>
      <c r="E5229" s="20" t="e">
        <f>CONCATENATE(A5229,".",B5229,".",C5229)</f>
        <v>#REF!</v>
      </c>
      <c r="F5229" s="21" t="s">
        <v>5535</v>
      </c>
      <c r="G5229" s="22" t="s">
        <v>2014</v>
      </c>
      <c r="H5229" s="23" t="s">
        <v>2015</v>
      </c>
      <c r="I5229" s="24" t="s">
        <v>126</v>
      </c>
      <c r="J5229" s="25"/>
      <c r="K5229" s="10"/>
      <c r="L5229" s="32"/>
      <c r="M5229" s="10"/>
      <c r="N5229" s="33"/>
      <c r="O5229" s="27">
        <f>SUM(O5230:O5231)</f>
        <v>569.64</v>
      </c>
      <c r="P5229" s="185"/>
      <c r="Q5229" s="185"/>
    </row>
    <row r="5230" spans="1:17" hidden="1" outlineLevel="1">
      <c r="E5230" s="20"/>
      <c r="F5230" s="21"/>
      <c r="G5230" s="34"/>
      <c r="H5230" s="30" t="s">
        <v>2842</v>
      </c>
      <c r="I5230" s="35"/>
      <c r="J5230" s="25"/>
      <c r="K5230" s="33"/>
      <c r="L5230" s="41"/>
      <c r="M5230" s="33"/>
      <c r="N5230" s="33">
        <f>O5221</f>
        <v>750.48</v>
      </c>
      <c r="O5230" s="31">
        <f>ROUND(PRODUCT(J5230:N5230),2)</f>
        <v>750.48</v>
      </c>
      <c r="P5230" s="185"/>
      <c r="Q5230" s="185"/>
    </row>
    <row r="5231" spans="1:17" hidden="1" outlineLevel="1">
      <c r="E5231" s="20"/>
      <c r="F5231" s="21"/>
      <c r="G5231" s="34"/>
      <c r="H5231" s="30" t="s">
        <v>2843</v>
      </c>
      <c r="I5231" s="35"/>
      <c r="J5231" s="40">
        <v>-1</v>
      </c>
      <c r="K5231" s="40"/>
      <c r="L5231" s="40"/>
      <c r="M5231" s="40"/>
      <c r="N5231" s="33">
        <f>O5201</f>
        <v>180.83999999999997</v>
      </c>
      <c r="O5231" s="48">
        <f>ROUND(PRODUCT(J5231:N5231),2)</f>
        <v>-180.84</v>
      </c>
      <c r="P5231" s="49"/>
      <c r="Q5231" s="185"/>
    </row>
    <row r="5232" spans="1:17" ht="45" hidden="1" outlineLevel="1">
      <c r="A5232" s="2">
        <v>11</v>
      </c>
      <c r="B5232" s="2">
        <v>9</v>
      </c>
      <c r="C5232" s="2" t="e">
        <f>1+C5229</f>
        <v>#REF!</v>
      </c>
      <c r="E5232" s="20" t="e">
        <f>CONCATENATE(A5232,".",B5232,".",C5232)</f>
        <v>#REF!</v>
      </c>
      <c r="F5232" s="21" t="s">
        <v>5536</v>
      </c>
      <c r="G5232" s="22" t="s">
        <v>1941</v>
      </c>
      <c r="H5232" s="23" t="s">
        <v>1942</v>
      </c>
      <c r="I5232" s="24" t="s">
        <v>1943</v>
      </c>
      <c r="J5232" s="25"/>
      <c r="K5232" s="10"/>
      <c r="L5232" s="32"/>
      <c r="M5232" s="10"/>
      <c r="N5232" s="33"/>
      <c r="O5232" s="27">
        <f>SUM(O5233)</f>
        <v>427.23</v>
      </c>
      <c r="P5232" s="185"/>
      <c r="Q5232" s="185"/>
    </row>
    <row r="5233" spans="1:17" hidden="1" outlineLevel="1">
      <c r="E5233" s="20"/>
      <c r="F5233" s="21"/>
      <c r="G5233" s="34"/>
      <c r="H5233" s="30"/>
      <c r="I5233" s="35"/>
      <c r="J5233" s="40">
        <v>0.75</v>
      </c>
      <c r="K5233" s="33"/>
      <c r="L5233" s="41"/>
      <c r="M5233" s="33"/>
      <c r="N5233" s="33">
        <f>O5229</f>
        <v>569.64</v>
      </c>
      <c r="O5233" s="31">
        <f>ROUND(PRODUCT(J5233:N5233),2)</f>
        <v>427.23</v>
      </c>
      <c r="P5233" s="185"/>
      <c r="Q5233" s="185"/>
    </row>
    <row r="5234" spans="1:17" ht="30" hidden="1" outlineLevel="1">
      <c r="A5234" s="2">
        <v>11</v>
      </c>
      <c r="B5234" s="2">
        <v>9</v>
      </c>
      <c r="C5234" s="2" t="e">
        <f>1+C5232</f>
        <v>#REF!</v>
      </c>
      <c r="E5234" s="20" t="e">
        <f>CONCATENATE(A5234,".",B5234,".",C5234)</f>
        <v>#REF!</v>
      </c>
      <c r="F5234" s="21" t="s">
        <v>5537</v>
      </c>
      <c r="G5234" s="22" t="s">
        <v>1945</v>
      </c>
      <c r="H5234" s="23" t="s">
        <v>1946</v>
      </c>
      <c r="I5234" s="24" t="s">
        <v>1947</v>
      </c>
      <c r="J5234" s="25"/>
      <c r="K5234" s="10"/>
      <c r="L5234" s="32"/>
      <c r="M5234" s="10"/>
      <c r="N5234" s="33"/>
      <c r="O5234" s="27">
        <f>SUM(O5235)</f>
        <v>8544.6</v>
      </c>
      <c r="P5234" s="185"/>
      <c r="Q5234" s="185"/>
    </row>
    <row r="5235" spans="1:17" hidden="1" outlineLevel="1">
      <c r="E5235" s="20"/>
      <c r="F5235" s="21"/>
      <c r="G5235" s="34"/>
      <c r="H5235" s="30"/>
      <c r="I5235" s="35"/>
      <c r="J5235" s="40">
        <v>20</v>
      </c>
      <c r="K5235" s="33"/>
      <c r="L5235" s="41"/>
      <c r="M5235" s="33"/>
      <c r="N5235" s="33">
        <f>O5233</f>
        <v>427.23</v>
      </c>
      <c r="O5235" s="31">
        <f>ROUND(PRODUCT(J5235:N5235),2)</f>
        <v>8544.6</v>
      </c>
      <c r="P5235" s="185"/>
      <c r="Q5235" s="185"/>
    </row>
    <row r="5236" spans="1:17" collapsed="1">
      <c r="A5236" s="2">
        <v>11</v>
      </c>
      <c r="B5236" s="2">
        <v>10</v>
      </c>
      <c r="E5236" s="42" t="str">
        <f>CONCATENATE(A5236,".",B5236)</f>
        <v>11.10</v>
      </c>
      <c r="F5236" s="45" t="s">
        <v>5538</v>
      </c>
      <c r="G5236" s="13"/>
      <c r="H5236" s="14" t="s">
        <v>5539</v>
      </c>
      <c r="I5236" s="15"/>
      <c r="J5236" s="16"/>
      <c r="K5236" s="17"/>
      <c r="L5236" s="16"/>
      <c r="M5236" s="17"/>
      <c r="N5236" s="18"/>
      <c r="O5236" s="19"/>
      <c r="P5236" s="185"/>
      <c r="Q5236" s="185"/>
    </row>
    <row r="5237" spans="1:17" hidden="1" outlineLevel="1">
      <c r="A5237" s="2">
        <v>11</v>
      </c>
      <c r="B5237" s="2">
        <v>10</v>
      </c>
      <c r="C5237" s="2">
        <v>1</v>
      </c>
      <c r="E5237" s="20" t="str">
        <f>CONCATENATE(A5237,".",B5237,".",C5237)</f>
        <v>11.10.1</v>
      </c>
      <c r="F5237" s="21" t="s">
        <v>5540</v>
      </c>
      <c r="G5237" s="22" t="s">
        <v>5541</v>
      </c>
      <c r="H5237" s="23" t="s">
        <v>5539</v>
      </c>
      <c r="I5237" s="24" t="s">
        <v>36</v>
      </c>
      <c r="J5237" s="25"/>
      <c r="K5237" s="10"/>
      <c r="L5237" s="32"/>
      <c r="M5237" s="10"/>
      <c r="N5237" s="33"/>
      <c r="O5237" s="27">
        <f>SUM(O5238:O5238)</f>
        <v>1</v>
      </c>
      <c r="P5237" s="185"/>
      <c r="Q5237" s="185"/>
    </row>
    <row r="5238" spans="1:17" hidden="1" outlineLevel="1">
      <c r="E5238" s="20"/>
      <c r="F5238" s="21"/>
      <c r="G5238" s="34"/>
      <c r="H5238" s="30"/>
      <c r="I5238" s="35"/>
      <c r="J5238" s="40"/>
      <c r="K5238" s="33"/>
      <c r="L5238" s="41"/>
      <c r="M5238" s="33"/>
      <c r="N5238" s="33">
        <v>1</v>
      </c>
      <c r="O5238" s="31">
        <f>ROUND(PRODUCT(J5238:N5238),2)</f>
        <v>1</v>
      </c>
      <c r="P5238" s="185"/>
      <c r="Q5238" s="185"/>
    </row>
    <row r="5239" spans="1:17" collapsed="1">
      <c r="A5239" s="2">
        <v>11</v>
      </c>
      <c r="B5239" s="2">
        <v>11</v>
      </c>
      <c r="E5239" s="42" t="str">
        <f>CONCATENATE(A5239,".",B5239)</f>
        <v>11.11</v>
      </c>
      <c r="F5239" s="45" t="s">
        <v>5542</v>
      </c>
      <c r="G5239" s="13"/>
      <c r="H5239" s="14" t="s">
        <v>5543</v>
      </c>
      <c r="I5239" s="15"/>
      <c r="J5239" s="16"/>
      <c r="K5239" s="17"/>
      <c r="L5239" s="16"/>
      <c r="M5239" s="17"/>
      <c r="N5239" s="18"/>
      <c r="O5239" s="19"/>
      <c r="P5239" s="185"/>
      <c r="Q5239" s="185"/>
    </row>
    <row r="5240" spans="1:17" ht="30" hidden="1" outlineLevel="1">
      <c r="A5240" s="2">
        <v>11</v>
      </c>
      <c r="B5240" s="2">
        <v>11</v>
      </c>
      <c r="C5240" s="2">
        <f>1+C5212</f>
        <v>1</v>
      </c>
      <c r="E5240" s="20" t="str">
        <f>CONCATENATE(A5240,".",B5240,".",C5240)</f>
        <v>11.11.1</v>
      </c>
      <c r="F5240" s="21" t="s">
        <v>5544</v>
      </c>
      <c r="G5240" s="22">
        <v>94648</v>
      </c>
      <c r="H5240" s="23" t="s">
        <v>5545</v>
      </c>
      <c r="I5240" s="24" t="s">
        <v>144</v>
      </c>
      <c r="J5240" s="25"/>
      <c r="K5240" s="10"/>
      <c r="L5240" s="32"/>
      <c r="M5240" s="10"/>
      <c r="N5240" s="33"/>
      <c r="O5240" s="27">
        <f>SUM(O5241:O5241)</f>
        <v>35.4</v>
      </c>
      <c r="P5240" s="185"/>
      <c r="Q5240" s="185"/>
    </row>
    <row r="5241" spans="1:17" hidden="1" outlineLevel="1">
      <c r="E5241" s="20"/>
      <c r="F5241" s="21"/>
      <c r="G5241" s="34"/>
      <c r="H5241" s="30"/>
      <c r="I5241" s="35"/>
      <c r="J5241" s="40"/>
      <c r="K5241" s="33"/>
      <c r="L5241" s="41"/>
      <c r="M5241" s="33"/>
      <c r="N5241" s="33">
        <v>35.4</v>
      </c>
      <c r="O5241" s="31">
        <f>ROUND(PRODUCT(J5241:N5241),2)</f>
        <v>35.4</v>
      </c>
      <c r="P5241" s="185"/>
      <c r="Q5241" s="185"/>
    </row>
    <row r="5242" spans="1:17" ht="30" hidden="1" outlineLevel="1">
      <c r="A5242" s="2">
        <v>11</v>
      </c>
      <c r="B5242" s="2">
        <v>11</v>
      </c>
      <c r="C5242" s="2">
        <f>C5240+1</f>
        <v>2</v>
      </c>
      <c r="E5242" s="20" t="str">
        <f>CONCATENATE(A5242,".",B5242,".",C5242)</f>
        <v>11.11.2</v>
      </c>
      <c r="F5242" s="21" t="s">
        <v>5546</v>
      </c>
      <c r="G5242" s="22">
        <v>89357</v>
      </c>
      <c r="H5242" s="23" t="s">
        <v>3261</v>
      </c>
      <c r="I5242" s="24" t="s">
        <v>144</v>
      </c>
      <c r="J5242" s="25"/>
      <c r="K5242" s="10"/>
      <c r="L5242" s="32"/>
      <c r="M5242" s="10"/>
      <c r="N5242" s="33"/>
      <c r="O5242" s="27">
        <f>SUM(O5243:O5243)</f>
        <v>2069.79</v>
      </c>
      <c r="P5242" s="185"/>
      <c r="Q5242" s="185"/>
    </row>
    <row r="5243" spans="1:17" hidden="1" outlineLevel="1">
      <c r="E5243" s="20"/>
      <c r="F5243" s="21"/>
      <c r="G5243" s="34"/>
      <c r="H5243" s="30"/>
      <c r="I5243" s="35"/>
      <c r="J5243" s="40"/>
      <c r="K5243" s="33"/>
      <c r="L5243" s="41"/>
      <c r="M5243" s="33"/>
      <c r="N5243" s="33">
        <v>2069.79</v>
      </c>
      <c r="O5243" s="31">
        <f>ROUND(PRODUCT(J5243:N5243),2)</f>
        <v>2069.79</v>
      </c>
      <c r="P5243" s="185"/>
      <c r="Q5243" s="185"/>
    </row>
    <row r="5244" spans="1:17" ht="45" hidden="1" outlineLevel="1">
      <c r="A5244" s="2">
        <v>11</v>
      </c>
      <c r="B5244" s="2">
        <v>11</v>
      </c>
      <c r="C5244" s="2">
        <f>C5242+1</f>
        <v>3</v>
      </c>
      <c r="E5244" s="20" t="str">
        <f>CONCATENATE(A5244,".",B5244,".",C5244)</f>
        <v>11.11.3</v>
      </c>
      <c r="F5244" s="21" t="s">
        <v>5547</v>
      </c>
      <c r="G5244" s="22">
        <v>89391</v>
      </c>
      <c r="H5244" s="23" t="s">
        <v>3798</v>
      </c>
      <c r="I5244" s="24" t="s">
        <v>36</v>
      </c>
      <c r="J5244" s="25"/>
      <c r="K5244" s="10"/>
      <c r="L5244" s="32"/>
      <c r="M5244" s="10"/>
      <c r="N5244" s="33"/>
      <c r="O5244" s="27">
        <f>SUM(O5245:O5245)</f>
        <v>66</v>
      </c>
      <c r="P5244" s="185"/>
      <c r="Q5244" s="185"/>
    </row>
    <row r="5245" spans="1:17" hidden="1" outlineLevel="1">
      <c r="E5245" s="20"/>
      <c r="F5245" s="21"/>
      <c r="G5245" s="34"/>
      <c r="H5245" s="30"/>
      <c r="I5245" s="35"/>
      <c r="J5245" s="40"/>
      <c r="K5245" s="33"/>
      <c r="L5245" s="41"/>
      <c r="M5245" s="33"/>
      <c r="N5245" s="33">
        <v>66</v>
      </c>
      <c r="O5245" s="31">
        <f>ROUND(PRODUCT(J5245:N5245),2)</f>
        <v>66</v>
      </c>
      <c r="P5245" s="185"/>
      <c r="Q5245" s="185"/>
    </row>
    <row r="5246" spans="1:17" ht="45" hidden="1" outlineLevel="1">
      <c r="A5246" s="2">
        <v>11</v>
      </c>
      <c r="B5246" s="2">
        <v>11</v>
      </c>
      <c r="C5246" s="2">
        <f>C5244+1</f>
        <v>4</v>
      </c>
      <c r="E5246" s="20" t="str">
        <f>CONCATENATE(A5246,".",B5246,".",C5246)</f>
        <v>11.11.4</v>
      </c>
      <c r="F5246" s="21" t="s">
        <v>5548</v>
      </c>
      <c r="G5246" s="22">
        <v>91893</v>
      </c>
      <c r="H5246" s="23" t="s">
        <v>5549</v>
      </c>
      <c r="I5246" s="24" t="s">
        <v>36</v>
      </c>
      <c r="J5246" s="25"/>
      <c r="K5246" s="10"/>
      <c r="L5246" s="32"/>
      <c r="M5246" s="10"/>
      <c r="N5246" s="33"/>
      <c r="O5246" s="27">
        <f>SUM(O5247:O5247)</f>
        <v>21</v>
      </c>
      <c r="P5246" s="185"/>
      <c r="Q5246" s="185"/>
    </row>
    <row r="5247" spans="1:17" hidden="1" outlineLevel="1">
      <c r="E5247" s="20"/>
      <c r="F5247" s="21"/>
      <c r="G5247" s="34"/>
      <c r="H5247" s="30"/>
      <c r="I5247" s="35"/>
      <c r="J5247" s="40"/>
      <c r="K5247" s="33"/>
      <c r="L5247" s="41"/>
      <c r="M5247" s="33"/>
      <c r="N5247" s="33">
        <v>21</v>
      </c>
      <c r="O5247" s="31">
        <f>ROUND(PRODUCT(J5247:N5247),2)</f>
        <v>21</v>
      </c>
      <c r="P5247" s="185"/>
      <c r="Q5247" s="185"/>
    </row>
    <row r="5248" spans="1:17" ht="45" hidden="1" outlineLevel="1">
      <c r="A5248" s="2">
        <v>11</v>
      </c>
      <c r="B5248" s="2">
        <v>11</v>
      </c>
      <c r="C5248" s="2">
        <f>C5246+1</f>
        <v>5</v>
      </c>
      <c r="E5248" s="20" t="str">
        <f>CONCATENATE(A5248,".",B5248,".",C5248)</f>
        <v>11.11.5</v>
      </c>
      <c r="F5248" s="21" t="s">
        <v>5550</v>
      </c>
      <c r="G5248" s="22">
        <v>90373</v>
      </c>
      <c r="H5248" s="23" t="s">
        <v>3267</v>
      </c>
      <c r="I5248" s="24" t="s">
        <v>36</v>
      </c>
      <c r="J5248" s="25"/>
      <c r="K5248" s="10"/>
      <c r="L5248" s="32"/>
      <c r="M5248" s="10"/>
      <c r="N5248" s="33"/>
      <c r="O5248" s="27">
        <f>SUM(O5249:O5249)</f>
        <v>52</v>
      </c>
      <c r="P5248" s="185"/>
      <c r="Q5248" s="185"/>
    </row>
    <row r="5249" spans="1:17" hidden="1" outlineLevel="1">
      <c r="E5249" s="20"/>
      <c r="F5249" s="21"/>
      <c r="G5249" s="34"/>
      <c r="H5249" s="30"/>
      <c r="I5249" s="35"/>
      <c r="J5249" s="40"/>
      <c r="K5249" s="33"/>
      <c r="L5249" s="41"/>
      <c r="M5249" s="33"/>
      <c r="N5249" s="33">
        <v>52</v>
      </c>
      <c r="O5249" s="31">
        <f>ROUND(PRODUCT(J5249:N5249),2)</f>
        <v>52</v>
      </c>
      <c r="P5249" s="185"/>
      <c r="Q5249" s="185"/>
    </row>
    <row r="5250" spans="1:17" ht="30" hidden="1" outlineLevel="1">
      <c r="A5250" s="2">
        <v>11</v>
      </c>
      <c r="B5250" s="2">
        <v>11</v>
      </c>
      <c r="C5250" s="2">
        <f>C5248+1</f>
        <v>6</v>
      </c>
      <c r="E5250" s="20" t="str">
        <f>CONCATENATE(A5250,".",B5250,".",C5250)</f>
        <v>11.11.6</v>
      </c>
      <c r="F5250" s="21" t="s">
        <v>5551</v>
      </c>
      <c r="G5250" s="22">
        <v>89413</v>
      </c>
      <c r="H5250" s="23" t="s">
        <v>5552</v>
      </c>
      <c r="I5250" s="24" t="s">
        <v>36</v>
      </c>
      <c r="J5250" s="25"/>
      <c r="K5250" s="10"/>
      <c r="L5250" s="32"/>
      <c r="M5250" s="10"/>
      <c r="N5250" s="33"/>
      <c r="O5250" s="27">
        <f>SUM(O5251:O5251)</f>
        <v>19</v>
      </c>
      <c r="P5250" s="185"/>
      <c r="Q5250" s="185"/>
    </row>
    <row r="5251" spans="1:17" hidden="1" outlineLevel="1">
      <c r="E5251" s="20"/>
      <c r="F5251" s="21"/>
      <c r="G5251" s="34"/>
      <c r="H5251" s="30"/>
      <c r="I5251" s="35"/>
      <c r="J5251" s="40"/>
      <c r="K5251" s="33"/>
      <c r="L5251" s="41"/>
      <c r="M5251" s="33"/>
      <c r="N5251" s="33">
        <v>19</v>
      </c>
      <c r="O5251" s="31">
        <f>ROUND(PRODUCT(J5251:N5251),2)</f>
        <v>19</v>
      </c>
      <c r="P5251" s="185"/>
      <c r="Q5251" s="185"/>
    </row>
    <row r="5252" spans="1:17" ht="30" hidden="1" outlineLevel="1">
      <c r="A5252" s="2">
        <v>11</v>
      </c>
      <c r="B5252" s="2">
        <v>11</v>
      </c>
      <c r="C5252" s="2">
        <f>C5250+1</f>
        <v>7</v>
      </c>
      <c r="E5252" s="20" t="str">
        <f>CONCATENATE(A5252,".",B5252,".",C5252)</f>
        <v>11.11.7</v>
      </c>
      <c r="F5252" s="21" t="s">
        <v>5553</v>
      </c>
      <c r="G5252" s="22">
        <v>103956</v>
      </c>
      <c r="H5252" s="23" t="s">
        <v>2248</v>
      </c>
      <c r="I5252" s="24" t="s">
        <v>36</v>
      </c>
      <c r="J5252" s="25"/>
      <c r="K5252" s="10"/>
      <c r="L5252" s="32"/>
      <c r="M5252" s="10"/>
      <c r="N5252" s="33"/>
      <c r="O5252" s="27">
        <f>SUM(O5253:O5253)</f>
        <v>30</v>
      </c>
      <c r="P5252" s="185"/>
      <c r="Q5252" s="185"/>
    </row>
    <row r="5253" spans="1:17" hidden="1" outlineLevel="1">
      <c r="E5253" s="20"/>
      <c r="F5253" s="21"/>
      <c r="G5253" s="34"/>
      <c r="H5253" s="30"/>
      <c r="I5253" s="35"/>
      <c r="J5253" s="40"/>
      <c r="K5253" s="33"/>
      <c r="L5253" s="41"/>
      <c r="M5253" s="33"/>
      <c r="N5253" s="33">
        <v>30</v>
      </c>
      <c r="O5253" s="31">
        <f>ROUND(PRODUCT(J5253:N5253),2)</f>
        <v>30</v>
      </c>
      <c r="P5253" s="185"/>
      <c r="Q5253" s="185"/>
    </row>
    <row r="5254" spans="1:17" ht="30" hidden="1" outlineLevel="1">
      <c r="A5254" s="2">
        <v>11</v>
      </c>
      <c r="B5254" s="2">
        <v>11</v>
      </c>
      <c r="C5254" s="2">
        <f>C5252+1</f>
        <v>8</v>
      </c>
      <c r="E5254" s="20" t="str">
        <f>CONCATENATE(A5254,".",B5254,".",C5254)</f>
        <v>11.11.8</v>
      </c>
      <c r="F5254" s="21" t="s">
        <v>5554</v>
      </c>
      <c r="G5254" s="22">
        <v>89541</v>
      </c>
      <c r="H5254" s="23" t="s">
        <v>5555</v>
      </c>
      <c r="I5254" s="24" t="s">
        <v>36</v>
      </c>
      <c r="J5254" s="25"/>
      <c r="K5254" s="10"/>
      <c r="L5254" s="32"/>
      <c r="M5254" s="10"/>
      <c r="N5254" s="33"/>
      <c r="O5254" s="27">
        <f>SUM(O5255:O5255)</f>
        <v>3</v>
      </c>
      <c r="P5254" s="185"/>
      <c r="Q5254" s="185"/>
    </row>
    <row r="5255" spans="1:17" hidden="1" outlineLevel="1">
      <c r="E5255" s="20"/>
      <c r="F5255" s="21"/>
      <c r="G5255" s="34"/>
      <c r="H5255" s="30"/>
      <c r="I5255" s="35"/>
      <c r="J5255" s="40"/>
      <c r="K5255" s="33"/>
      <c r="L5255" s="41"/>
      <c r="M5255" s="33"/>
      <c r="N5255" s="33">
        <v>3</v>
      </c>
      <c r="O5255" s="31">
        <f>ROUND(PRODUCT(J5255:N5255),2)</f>
        <v>3</v>
      </c>
      <c r="P5255" s="185"/>
      <c r="Q5255" s="185"/>
    </row>
    <row r="5256" spans="1:17" ht="30" hidden="1" outlineLevel="1">
      <c r="A5256" s="2">
        <v>11</v>
      </c>
      <c r="B5256" s="2">
        <v>11</v>
      </c>
      <c r="C5256" s="2">
        <f>C5254+1</f>
        <v>9</v>
      </c>
      <c r="E5256" s="20" t="str">
        <f>CONCATENATE(A5256,".",B5256,".",C5256)</f>
        <v>11.11.9</v>
      </c>
      <c r="F5256" s="21" t="s">
        <v>5556</v>
      </c>
      <c r="G5256" s="22">
        <v>89624</v>
      </c>
      <c r="H5256" s="23" t="s">
        <v>1817</v>
      </c>
      <c r="I5256" s="24" t="s">
        <v>36</v>
      </c>
      <c r="J5256" s="25"/>
      <c r="K5256" s="10"/>
      <c r="L5256" s="32"/>
      <c r="M5256" s="10"/>
      <c r="N5256" s="33"/>
      <c r="O5256" s="27">
        <f>SUM(O5257:O5257)</f>
        <v>4</v>
      </c>
      <c r="P5256" s="185"/>
      <c r="Q5256" s="185"/>
    </row>
    <row r="5257" spans="1:17" hidden="1" outlineLevel="1">
      <c r="E5257" s="20"/>
      <c r="F5257" s="21"/>
      <c r="G5257" s="34"/>
      <c r="H5257" s="30"/>
      <c r="I5257" s="35"/>
      <c r="J5257" s="40"/>
      <c r="K5257" s="33"/>
      <c r="L5257" s="41"/>
      <c r="M5257" s="33"/>
      <c r="N5257" s="33">
        <v>4</v>
      </c>
      <c r="O5257" s="31">
        <f>ROUND(PRODUCT(J5257:N5257),2)</f>
        <v>4</v>
      </c>
      <c r="P5257" s="185"/>
      <c r="Q5257" s="185"/>
    </row>
    <row r="5258" spans="1:17" ht="30" hidden="1" outlineLevel="1">
      <c r="A5258" s="2">
        <v>11</v>
      </c>
      <c r="B5258" s="2">
        <v>11</v>
      </c>
      <c r="C5258" s="2">
        <f>C5256+1</f>
        <v>10</v>
      </c>
      <c r="E5258" s="20" t="str">
        <f>CONCATENATE(A5258,".",B5258,".",C5258)</f>
        <v>11.11.10</v>
      </c>
      <c r="F5258" s="21" t="s">
        <v>5557</v>
      </c>
      <c r="G5258" s="22">
        <v>89622</v>
      </c>
      <c r="H5258" s="23" t="s">
        <v>5558</v>
      </c>
      <c r="I5258" s="24" t="s">
        <v>36</v>
      </c>
      <c r="J5258" s="25"/>
      <c r="K5258" s="10"/>
      <c r="L5258" s="32"/>
      <c r="M5258" s="10"/>
      <c r="N5258" s="33"/>
      <c r="O5258" s="27">
        <f>SUM(O5259:O5259)</f>
        <v>17</v>
      </c>
      <c r="P5258" s="185"/>
      <c r="Q5258" s="185"/>
    </row>
    <row r="5259" spans="1:17" hidden="1" outlineLevel="1">
      <c r="E5259" s="20"/>
      <c r="F5259" s="21"/>
      <c r="G5259" s="34"/>
      <c r="H5259" s="30"/>
      <c r="I5259" s="35"/>
      <c r="J5259" s="40"/>
      <c r="K5259" s="33"/>
      <c r="L5259" s="41"/>
      <c r="M5259" s="33"/>
      <c r="N5259" s="33">
        <v>17</v>
      </c>
      <c r="O5259" s="31">
        <f>ROUND(PRODUCT(J5259:N5259),2)</f>
        <v>17</v>
      </c>
      <c r="P5259" s="185"/>
      <c r="Q5259" s="185"/>
    </row>
    <row r="5260" spans="1:17" ht="30" hidden="1" outlineLevel="1">
      <c r="A5260" s="2">
        <v>11</v>
      </c>
      <c r="B5260" s="2">
        <v>11</v>
      </c>
      <c r="C5260" s="2">
        <f>C5258+1</f>
        <v>11</v>
      </c>
      <c r="E5260" s="20" t="str">
        <f>CONCATENATE(A5260,".",B5260,".",C5260)</f>
        <v>11.11.11</v>
      </c>
      <c r="F5260" s="21" t="s">
        <v>5559</v>
      </c>
      <c r="G5260" s="22">
        <v>89620</v>
      </c>
      <c r="H5260" s="23" t="s">
        <v>744</v>
      </c>
      <c r="I5260" s="24" t="s">
        <v>36</v>
      </c>
      <c r="J5260" s="25"/>
      <c r="K5260" s="10"/>
      <c r="L5260" s="32"/>
      <c r="M5260" s="10"/>
      <c r="N5260" s="33"/>
      <c r="O5260" s="27">
        <f>SUM(O5261:O5261)</f>
        <v>28</v>
      </c>
      <c r="P5260" s="185"/>
      <c r="Q5260" s="185"/>
    </row>
    <row r="5261" spans="1:17" hidden="1" outlineLevel="1">
      <c r="E5261" s="20"/>
      <c r="F5261" s="21"/>
      <c r="G5261" s="34"/>
      <c r="H5261" s="30"/>
      <c r="I5261" s="35"/>
      <c r="J5261" s="40"/>
      <c r="K5261" s="33"/>
      <c r="L5261" s="41"/>
      <c r="M5261" s="33"/>
      <c r="N5261" s="33">
        <v>28</v>
      </c>
      <c r="O5261" s="31">
        <f>ROUND(PRODUCT(J5261:N5261),2)</f>
        <v>28</v>
      </c>
      <c r="P5261" s="185"/>
      <c r="Q5261" s="185"/>
    </row>
    <row r="5262" spans="1:17" ht="30" hidden="1" outlineLevel="1">
      <c r="A5262" s="2">
        <v>11</v>
      </c>
      <c r="B5262" s="2">
        <v>11</v>
      </c>
      <c r="C5262" s="2">
        <f>C5260+1</f>
        <v>12</v>
      </c>
      <c r="E5262" s="20" t="str">
        <f>CONCATENATE(A5262,".",B5262,".",C5262)</f>
        <v>11.11.12</v>
      </c>
      <c r="F5262" s="21" t="s">
        <v>5560</v>
      </c>
      <c r="G5262" s="22">
        <v>89381</v>
      </c>
      <c r="H5262" s="23" t="s">
        <v>5561</v>
      </c>
      <c r="I5262" s="24" t="s">
        <v>36</v>
      </c>
      <c r="J5262" s="25"/>
      <c r="K5262" s="10"/>
      <c r="L5262" s="32"/>
      <c r="M5262" s="10"/>
      <c r="N5262" s="33"/>
      <c r="O5262" s="27">
        <f>SUM(O5263:O5263)</f>
        <v>4</v>
      </c>
      <c r="P5262" s="185"/>
      <c r="Q5262" s="185"/>
    </row>
    <row r="5263" spans="1:17" hidden="1" outlineLevel="1">
      <c r="E5263" s="20"/>
      <c r="F5263" s="21"/>
      <c r="G5263" s="34"/>
      <c r="H5263" s="30"/>
      <c r="I5263" s="35"/>
      <c r="J5263" s="40"/>
      <c r="K5263" s="33"/>
      <c r="L5263" s="41"/>
      <c r="M5263" s="33"/>
      <c r="N5263" s="33">
        <v>4</v>
      </c>
      <c r="O5263" s="31">
        <f>ROUND(PRODUCT(J5263:N5263),2)</f>
        <v>4</v>
      </c>
      <c r="P5263" s="185"/>
      <c r="Q5263" s="185"/>
    </row>
    <row r="5264" spans="1:17" ht="30" hidden="1" outlineLevel="1">
      <c r="A5264" s="2">
        <v>11</v>
      </c>
      <c r="B5264" s="2">
        <v>11</v>
      </c>
      <c r="C5264" s="2">
        <f>C5262+1</f>
        <v>13</v>
      </c>
      <c r="E5264" s="20" t="str">
        <f>CONCATENATE(A5264,".",B5264,".",C5264)</f>
        <v>11.11.13</v>
      </c>
      <c r="F5264" s="21" t="s">
        <v>5562</v>
      </c>
      <c r="G5264" s="22">
        <v>103037</v>
      </c>
      <c r="H5264" s="23" t="s">
        <v>5563</v>
      </c>
      <c r="I5264" s="24" t="s">
        <v>36</v>
      </c>
      <c r="J5264" s="25"/>
      <c r="K5264" s="10"/>
      <c r="L5264" s="32"/>
      <c r="M5264" s="10"/>
      <c r="N5264" s="33"/>
      <c r="O5264" s="27">
        <f>SUM(O5265:O5265)</f>
        <v>31</v>
      </c>
      <c r="P5264" s="185"/>
      <c r="Q5264" s="185"/>
    </row>
    <row r="5265" spans="1:17" hidden="1" outlineLevel="1">
      <c r="E5265" s="20"/>
      <c r="F5265" s="21"/>
      <c r="G5265" s="34"/>
      <c r="H5265" s="30"/>
      <c r="I5265" s="35"/>
      <c r="J5265" s="40"/>
      <c r="K5265" s="33"/>
      <c r="L5265" s="41"/>
      <c r="M5265" s="33"/>
      <c r="N5265" s="33">
        <v>31</v>
      </c>
      <c r="O5265" s="31">
        <f>ROUND(PRODUCT(J5265:N5265),2)</f>
        <v>31</v>
      </c>
      <c r="P5265" s="185"/>
      <c r="Q5265" s="185"/>
    </row>
    <row r="5266" spans="1:17" ht="45" hidden="1" outlineLevel="1">
      <c r="A5266" s="2">
        <v>11</v>
      </c>
      <c r="B5266" s="2">
        <v>11</v>
      </c>
      <c r="C5266" s="2">
        <f>C5264+1</f>
        <v>14</v>
      </c>
      <c r="E5266" s="20" t="str">
        <f>CONCATENATE(A5266,".",B5266,".",C5266)</f>
        <v>11.11.14</v>
      </c>
      <c r="F5266" s="21" t="s">
        <v>5564</v>
      </c>
      <c r="G5266" s="22">
        <v>97903</v>
      </c>
      <c r="H5266" s="23" t="s">
        <v>2328</v>
      </c>
      <c r="I5266" s="24" t="s">
        <v>36</v>
      </c>
      <c r="J5266" s="25"/>
      <c r="K5266" s="10"/>
      <c r="L5266" s="32"/>
      <c r="M5266" s="10"/>
      <c r="N5266" s="33"/>
      <c r="O5266" s="27">
        <f>SUM(O5267:O5267)</f>
        <v>1</v>
      </c>
      <c r="P5266" s="185"/>
      <c r="Q5266" s="185"/>
    </row>
    <row r="5267" spans="1:17" hidden="1" outlineLevel="1">
      <c r="E5267" s="20"/>
      <c r="F5267" s="21"/>
      <c r="G5267" s="34"/>
      <c r="H5267" s="30"/>
      <c r="I5267" s="35"/>
      <c r="J5267" s="40"/>
      <c r="K5267" s="33"/>
      <c r="L5267" s="41"/>
      <c r="M5267" s="33"/>
      <c r="N5267" s="33">
        <v>1</v>
      </c>
      <c r="O5267" s="31">
        <f>ROUND(PRODUCT(J5267:N5267),2)</f>
        <v>1</v>
      </c>
      <c r="P5267" s="185"/>
      <c r="Q5267" s="185"/>
    </row>
    <row r="5268" spans="1:17" ht="45" hidden="1" outlineLevel="1">
      <c r="A5268" s="2">
        <v>11</v>
      </c>
      <c r="B5268" s="2">
        <v>11</v>
      </c>
      <c r="C5268" s="2">
        <f>C5266+1</f>
        <v>15</v>
      </c>
      <c r="E5268" s="20" t="str">
        <f>CONCATENATE(A5268,".",B5268,".",C5268)</f>
        <v>11.11.15</v>
      </c>
      <c r="F5268" s="21" t="s">
        <v>5565</v>
      </c>
      <c r="G5268" s="22">
        <v>99255</v>
      </c>
      <c r="H5268" s="23" t="s">
        <v>5566</v>
      </c>
      <c r="I5268" s="24" t="s">
        <v>36</v>
      </c>
      <c r="J5268" s="25"/>
      <c r="K5268" s="10"/>
      <c r="L5268" s="32"/>
      <c r="M5268" s="10"/>
      <c r="N5268" s="33"/>
      <c r="O5268" s="27">
        <f>SUM(O5269:O5269)</f>
        <v>8</v>
      </c>
      <c r="P5268" s="185"/>
      <c r="Q5268" s="185"/>
    </row>
    <row r="5269" spans="1:17" hidden="1" outlineLevel="1">
      <c r="E5269" s="20"/>
      <c r="F5269" s="21"/>
      <c r="G5269" s="34"/>
      <c r="H5269" s="30"/>
      <c r="I5269" s="35"/>
      <c r="J5269" s="40"/>
      <c r="K5269" s="33"/>
      <c r="L5269" s="41"/>
      <c r="M5269" s="33"/>
      <c r="N5269" s="33">
        <v>8</v>
      </c>
      <c r="O5269" s="31">
        <f>ROUND(PRODUCT(J5269:N5269),2)</f>
        <v>8</v>
      </c>
      <c r="P5269" s="185"/>
      <c r="Q5269" s="185"/>
    </row>
    <row r="5270" spans="1:17" hidden="1" outlineLevel="1">
      <c r="A5270" s="2">
        <v>11</v>
      </c>
      <c r="B5270" s="2">
        <v>11</v>
      </c>
      <c r="C5270" s="2">
        <f>C5268+1</f>
        <v>16</v>
      </c>
      <c r="E5270" s="20" t="str">
        <f>CONCATENATE(A5270,".",B5270,".",C5270)</f>
        <v>11.11.16</v>
      </c>
      <c r="F5270" s="21" t="s">
        <v>5567</v>
      </c>
      <c r="G5270" s="22" t="s">
        <v>5568</v>
      </c>
      <c r="H5270" s="23" t="s">
        <v>5569</v>
      </c>
      <c r="I5270" s="24" t="s">
        <v>36</v>
      </c>
      <c r="J5270" s="25"/>
      <c r="K5270" s="10"/>
      <c r="L5270" s="32"/>
      <c r="M5270" s="10"/>
      <c r="N5270" s="33"/>
      <c r="O5270" s="27">
        <f>SUM(O5271:O5271)</f>
        <v>4</v>
      </c>
      <c r="P5270" s="185"/>
      <c r="Q5270" s="185"/>
    </row>
    <row r="5271" spans="1:17" hidden="1" outlineLevel="1">
      <c r="E5271" s="20"/>
      <c r="F5271" s="21"/>
      <c r="G5271" s="34"/>
      <c r="H5271" s="30"/>
      <c r="I5271" s="35"/>
      <c r="J5271" s="40"/>
      <c r="K5271" s="33"/>
      <c r="L5271" s="41"/>
      <c r="M5271" s="33"/>
      <c r="N5271" s="33">
        <v>4</v>
      </c>
      <c r="O5271" s="31">
        <f>ROUND(PRODUCT(J5271:N5271),2)</f>
        <v>4</v>
      </c>
      <c r="P5271" s="185"/>
      <c r="Q5271" s="185"/>
    </row>
    <row r="5272" spans="1:17" ht="30" hidden="1" outlineLevel="1">
      <c r="A5272" s="2">
        <v>11</v>
      </c>
      <c r="B5272" s="2">
        <v>11</v>
      </c>
      <c r="C5272" s="2">
        <f>C5270+1</f>
        <v>17</v>
      </c>
      <c r="E5272" s="20" t="str">
        <f>CONCATENATE(A5272,".",B5272,".",C5272)</f>
        <v>11.11.17</v>
      </c>
      <c r="F5272" s="21" t="s">
        <v>5570</v>
      </c>
      <c r="G5272" s="22" t="s">
        <v>5571</v>
      </c>
      <c r="H5272" s="23" t="s">
        <v>5572</v>
      </c>
      <c r="I5272" s="24" t="s">
        <v>36</v>
      </c>
      <c r="J5272" s="25"/>
      <c r="K5272" s="10"/>
      <c r="L5272" s="32"/>
      <c r="M5272" s="10"/>
      <c r="N5272" s="33"/>
      <c r="O5272" s="27">
        <f>SUM(O5273:O5273)</f>
        <v>54.51</v>
      </c>
      <c r="P5272" s="185"/>
      <c r="Q5272" s="185"/>
    </row>
    <row r="5273" spans="1:17" hidden="1" outlineLevel="1">
      <c r="E5273" s="20"/>
      <c r="F5273" s="21"/>
      <c r="G5273" s="34"/>
      <c r="H5273" s="30"/>
      <c r="I5273" s="35"/>
      <c r="J5273" s="40"/>
      <c r="K5273" s="33"/>
      <c r="L5273" s="41"/>
      <c r="M5273" s="33"/>
      <c r="N5273" s="33">
        <v>54.51</v>
      </c>
      <c r="O5273" s="31">
        <f>ROUND(PRODUCT(J5273:N5273),2)</f>
        <v>54.51</v>
      </c>
      <c r="P5273" s="185"/>
      <c r="Q5273" s="185"/>
    </row>
    <row r="5274" spans="1:17" ht="30" hidden="1" outlineLevel="1">
      <c r="A5274" s="2">
        <v>11</v>
      </c>
      <c r="B5274" s="2">
        <v>11</v>
      </c>
      <c r="C5274" s="2">
        <f>C5272+1</f>
        <v>18</v>
      </c>
      <c r="E5274" s="20" t="str">
        <f>CONCATENATE(A5274,".",B5274,".",C5274)</f>
        <v>11.11.18</v>
      </c>
      <c r="F5274" s="21" t="s">
        <v>5573</v>
      </c>
      <c r="G5274" s="22" t="s">
        <v>5574</v>
      </c>
      <c r="H5274" s="23" t="s">
        <v>5575</v>
      </c>
      <c r="I5274" s="24" t="s">
        <v>36</v>
      </c>
      <c r="J5274" s="25"/>
      <c r="K5274" s="10"/>
      <c r="L5274" s="32"/>
      <c r="M5274" s="10"/>
      <c r="N5274" s="33"/>
      <c r="O5274" s="27">
        <f>SUM(O5275:O5275)</f>
        <v>27.2</v>
      </c>
      <c r="P5274" s="185"/>
      <c r="Q5274" s="185"/>
    </row>
    <row r="5275" spans="1:17" hidden="1" outlineLevel="1">
      <c r="E5275" s="20"/>
      <c r="F5275" s="21"/>
      <c r="G5275" s="34"/>
      <c r="H5275" s="30"/>
      <c r="I5275" s="35"/>
      <c r="J5275" s="40"/>
      <c r="K5275" s="33"/>
      <c r="L5275" s="41"/>
      <c r="M5275" s="33"/>
      <c r="N5275" s="33">
        <v>27.2</v>
      </c>
      <c r="O5275" s="31">
        <f>ROUND(PRODUCT(J5275:N5275),2)</f>
        <v>27.2</v>
      </c>
      <c r="P5275" s="185"/>
      <c r="Q5275" s="185"/>
    </row>
    <row r="5276" spans="1:17" ht="30" hidden="1" outlineLevel="1">
      <c r="A5276" s="2">
        <v>11</v>
      </c>
      <c r="B5276" s="2">
        <v>11</v>
      </c>
      <c r="C5276" s="2">
        <f>C5274+1</f>
        <v>19</v>
      </c>
      <c r="E5276" s="20" t="str">
        <f>CONCATENATE(A5276,".",B5276,".",C5276)</f>
        <v>11.11.19</v>
      </c>
      <c r="F5276" s="21" t="s">
        <v>5576</v>
      </c>
      <c r="G5276" s="22" t="s">
        <v>5577</v>
      </c>
      <c r="H5276" s="23" t="s">
        <v>5578</v>
      </c>
      <c r="I5276" s="24" t="s">
        <v>36</v>
      </c>
      <c r="J5276" s="25"/>
      <c r="K5276" s="10"/>
      <c r="L5276" s="32"/>
      <c r="M5276" s="10"/>
      <c r="N5276" s="33"/>
      <c r="O5276" s="27">
        <f>SUM(O5277:O5277)</f>
        <v>4</v>
      </c>
      <c r="P5276" s="185"/>
      <c r="Q5276" s="185"/>
    </row>
    <row r="5277" spans="1:17" hidden="1" outlineLevel="1">
      <c r="E5277" s="20"/>
      <c r="F5277" s="21"/>
      <c r="G5277" s="34"/>
      <c r="H5277" s="30"/>
      <c r="I5277" s="35"/>
      <c r="J5277" s="40"/>
      <c r="K5277" s="33"/>
      <c r="L5277" s="41"/>
      <c r="M5277" s="33"/>
      <c r="N5277" s="33">
        <v>4</v>
      </c>
      <c r="O5277" s="31">
        <f>ROUND(PRODUCT(J5277:N5277),2)</f>
        <v>4</v>
      </c>
      <c r="P5277" s="185"/>
      <c r="Q5277" s="185"/>
    </row>
    <row r="5278" spans="1:17" collapsed="1">
      <c r="A5278" s="2">
        <v>11</v>
      </c>
      <c r="B5278" s="2">
        <v>12</v>
      </c>
      <c r="E5278" s="42" t="str">
        <f>CONCATENATE(A5278,".",B5278)</f>
        <v>11.12</v>
      </c>
      <c r="F5278" s="45" t="s">
        <v>5579</v>
      </c>
      <c r="G5278" s="13"/>
      <c r="H5278" s="14" t="s">
        <v>5580</v>
      </c>
      <c r="I5278" s="15"/>
      <c r="J5278" s="16"/>
      <c r="K5278" s="17"/>
      <c r="L5278" s="16"/>
      <c r="M5278" s="17"/>
      <c r="N5278" s="18"/>
      <c r="O5278" s="19"/>
      <c r="P5278" s="185"/>
      <c r="Q5278" s="185"/>
    </row>
    <row r="5279" spans="1:17" ht="30" hidden="1" outlineLevel="1">
      <c r="A5279" s="2">
        <v>11</v>
      </c>
      <c r="B5279" s="2">
        <v>12</v>
      </c>
      <c r="C5279" s="2">
        <f>1+C5251</f>
        <v>1</v>
      </c>
      <c r="E5279" s="20" t="str">
        <f>CONCATENATE(A5279,".",B5279,".",C5279)</f>
        <v>11.12.1</v>
      </c>
      <c r="F5279" s="21" t="s">
        <v>5581</v>
      </c>
      <c r="G5279" s="22">
        <v>91859</v>
      </c>
      <c r="H5279" s="23" t="s">
        <v>5582</v>
      </c>
      <c r="I5279" s="24" t="s">
        <v>144</v>
      </c>
      <c r="J5279" s="25"/>
      <c r="K5279" s="10"/>
      <c r="L5279" s="32"/>
      <c r="M5279" s="10"/>
      <c r="N5279" s="33"/>
      <c r="O5279" s="27">
        <f>SUM(O5280:O5280)</f>
        <v>753.2</v>
      </c>
      <c r="P5279" s="185"/>
      <c r="Q5279" s="185"/>
    </row>
    <row r="5280" spans="1:17" hidden="1" outlineLevel="1">
      <c r="E5280" s="20"/>
      <c r="F5280" s="21"/>
      <c r="G5280" s="34"/>
      <c r="H5280" s="30"/>
      <c r="I5280" s="35"/>
      <c r="J5280" s="40"/>
      <c r="K5280" s="33"/>
      <c r="L5280" s="41"/>
      <c r="M5280" s="33"/>
      <c r="N5280" s="33">
        <v>753.2</v>
      </c>
      <c r="O5280" s="31">
        <f>ROUND(PRODUCT(J5280:N5280),2)</f>
        <v>753.2</v>
      </c>
      <c r="P5280" s="185"/>
      <c r="Q5280" s="185"/>
    </row>
    <row r="5281" spans="1:17" ht="30" hidden="1" outlineLevel="1">
      <c r="A5281" s="2">
        <v>11</v>
      </c>
      <c r="B5281" s="2">
        <v>12</v>
      </c>
      <c r="C5281" s="2">
        <f>C5279+1</f>
        <v>2</v>
      </c>
      <c r="E5281" s="20" t="str">
        <f>CONCATENATE(A5281,".",B5281,".",C5281)</f>
        <v>11.12.2</v>
      </c>
      <c r="F5281" s="21" t="s">
        <v>5583</v>
      </c>
      <c r="G5281" s="22">
        <v>91851</v>
      </c>
      <c r="H5281" s="23" t="s">
        <v>5584</v>
      </c>
      <c r="I5281" s="24" t="s">
        <v>144</v>
      </c>
      <c r="J5281" s="25"/>
      <c r="K5281" s="10"/>
      <c r="L5281" s="32"/>
      <c r="M5281" s="10"/>
      <c r="N5281" s="33"/>
      <c r="O5281" s="27">
        <f>SUM(O5282:O5282)</f>
        <v>4565.93</v>
      </c>
      <c r="P5281" s="185"/>
      <c r="Q5281" s="185"/>
    </row>
    <row r="5282" spans="1:17" hidden="1" outlineLevel="1">
      <c r="E5282" s="20"/>
      <c r="F5282" s="21"/>
      <c r="G5282" s="34"/>
      <c r="H5282" s="30"/>
      <c r="I5282" s="35"/>
      <c r="J5282" s="40"/>
      <c r="K5282" s="33"/>
      <c r="L5282" s="41"/>
      <c r="M5282" s="33"/>
      <c r="N5282" s="33">
        <f>4345.93+220</f>
        <v>4565.93</v>
      </c>
      <c r="O5282" s="31">
        <f>ROUND(PRODUCT(J5282:N5282),2)</f>
        <v>4565.93</v>
      </c>
      <c r="P5282" s="185"/>
      <c r="Q5282" s="185"/>
    </row>
    <row r="5283" spans="1:17" hidden="1" outlineLevel="1">
      <c r="A5283" s="2">
        <v>11</v>
      </c>
      <c r="B5283" s="2">
        <v>12</v>
      </c>
      <c r="C5283" s="2">
        <f>C5281+1</f>
        <v>3</v>
      </c>
      <c r="E5283" s="20" t="str">
        <f>CONCATENATE(A5283,".",B5283,".",C5283)</f>
        <v>11.12.3</v>
      </c>
      <c r="F5283" s="21" t="s">
        <v>5585</v>
      </c>
      <c r="G5283" s="22" t="s">
        <v>5586</v>
      </c>
      <c r="H5283" s="23" t="s">
        <v>2374</v>
      </c>
      <c r="I5283" s="24" t="s">
        <v>36</v>
      </c>
      <c r="J5283" s="25"/>
      <c r="K5283" s="10"/>
      <c r="L5283" s="32"/>
      <c r="M5283" s="10"/>
      <c r="N5283" s="33"/>
      <c r="O5283" s="27">
        <f>SUM(O5284:O5284)</f>
        <v>36</v>
      </c>
      <c r="P5283" s="185"/>
      <c r="Q5283" s="185"/>
    </row>
    <row r="5284" spans="1:17" hidden="1" outlineLevel="1">
      <c r="E5284" s="20"/>
      <c r="F5284" s="21"/>
      <c r="G5284" s="34"/>
      <c r="H5284" s="30"/>
      <c r="I5284" s="35"/>
      <c r="J5284" s="40"/>
      <c r="K5284" s="33"/>
      <c r="L5284" s="41"/>
      <c r="M5284" s="33"/>
      <c r="N5284" s="33">
        <v>36</v>
      </c>
      <c r="O5284" s="31">
        <f>ROUND(PRODUCT(J5284:N5284),2)</f>
        <v>36</v>
      </c>
      <c r="P5284" s="185"/>
      <c r="Q5284" s="185"/>
    </row>
    <row r="5285" spans="1:17" hidden="1" outlineLevel="1">
      <c r="A5285" s="2">
        <v>11</v>
      </c>
      <c r="B5285" s="2">
        <v>12</v>
      </c>
      <c r="C5285" s="2">
        <f>C5283+1</f>
        <v>4</v>
      </c>
      <c r="E5285" s="20" t="str">
        <f>CONCATENATE(A5285,".",B5285,".",C5285)</f>
        <v>11.12.4</v>
      </c>
      <c r="F5285" s="21" t="s">
        <v>5587</v>
      </c>
      <c r="G5285" s="22" t="s">
        <v>5588</v>
      </c>
      <c r="H5285" s="23" t="s">
        <v>5589</v>
      </c>
      <c r="I5285" s="24" t="s">
        <v>36</v>
      </c>
      <c r="J5285" s="25"/>
      <c r="K5285" s="10"/>
      <c r="L5285" s="32"/>
      <c r="M5285" s="10"/>
      <c r="N5285" s="33"/>
      <c r="O5285" s="27">
        <f>SUM(O5286:O5286)</f>
        <v>7</v>
      </c>
      <c r="P5285" s="185"/>
      <c r="Q5285" s="185"/>
    </row>
    <row r="5286" spans="1:17" hidden="1" outlineLevel="1">
      <c r="E5286" s="20"/>
      <c r="F5286" s="21"/>
      <c r="G5286" s="34"/>
      <c r="H5286" s="30"/>
      <c r="I5286" s="35"/>
      <c r="J5286" s="40"/>
      <c r="K5286" s="33"/>
      <c r="L5286" s="41"/>
      <c r="M5286" s="33"/>
      <c r="N5286" s="33">
        <v>7</v>
      </c>
      <c r="O5286" s="31">
        <f>ROUND(PRODUCT(J5286:N5286),2)</f>
        <v>7</v>
      </c>
      <c r="P5286" s="185"/>
      <c r="Q5286" s="185"/>
    </row>
    <row r="5287" spans="1:17" ht="60" hidden="1" outlineLevel="1">
      <c r="A5287" s="2">
        <v>11</v>
      </c>
      <c r="B5287" s="2">
        <v>12</v>
      </c>
      <c r="C5287" s="2">
        <f>C5285+1</f>
        <v>5</v>
      </c>
      <c r="E5287" s="20" t="str">
        <f>CONCATENATE(A5287,".",B5287,".",C5287)</f>
        <v>11.12.5</v>
      </c>
      <c r="F5287" s="21" t="s">
        <v>5590</v>
      </c>
      <c r="G5287" s="22">
        <v>101653</v>
      </c>
      <c r="H5287" s="23" t="s">
        <v>5591</v>
      </c>
      <c r="I5287" s="24" t="s">
        <v>36</v>
      </c>
      <c r="J5287" s="25"/>
      <c r="K5287" s="10"/>
      <c r="L5287" s="32"/>
      <c r="M5287" s="10"/>
      <c r="N5287" s="33"/>
      <c r="O5287" s="27">
        <f>SUM(O5288:O5288)</f>
        <v>145</v>
      </c>
      <c r="P5287" s="185"/>
      <c r="Q5287" s="185"/>
    </row>
    <row r="5288" spans="1:17" hidden="1" outlineLevel="1">
      <c r="E5288" s="20"/>
      <c r="F5288" s="21"/>
      <c r="G5288" s="34"/>
      <c r="H5288" s="30"/>
      <c r="I5288" s="35"/>
      <c r="J5288" s="40"/>
      <c r="K5288" s="33"/>
      <c r="L5288" s="41"/>
      <c r="M5288" s="33"/>
      <c r="N5288" s="33">
        <v>145</v>
      </c>
      <c r="O5288" s="31">
        <f>ROUND(PRODUCT(J5288:N5288),2)</f>
        <v>145</v>
      </c>
      <c r="P5288" s="185"/>
      <c r="Q5288" s="185"/>
    </row>
    <row r="5289" spans="1:17" ht="45" hidden="1" outlineLevel="1">
      <c r="A5289" s="2">
        <v>11</v>
      </c>
      <c r="B5289" s="2">
        <v>12</v>
      </c>
      <c r="C5289" s="2">
        <f>C5287+1</f>
        <v>6</v>
      </c>
      <c r="E5289" s="20" t="str">
        <f>CONCATENATE(A5289,".",B5289,".",C5289)</f>
        <v>11.12.6</v>
      </c>
      <c r="F5289" s="21" t="s">
        <v>5592</v>
      </c>
      <c r="G5289" s="22" t="s">
        <v>5593</v>
      </c>
      <c r="H5289" s="23" t="s">
        <v>5594</v>
      </c>
      <c r="I5289" s="24" t="s">
        <v>36</v>
      </c>
      <c r="J5289" s="25"/>
      <c r="K5289" s="10"/>
      <c r="L5289" s="32"/>
      <c r="M5289" s="10"/>
      <c r="N5289" s="33"/>
      <c r="O5289" s="27">
        <f>SUM(O5290:O5290)</f>
        <v>38</v>
      </c>
      <c r="P5289" s="185"/>
      <c r="Q5289" s="185"/>
    </row>
    <row r="5290" spans="1:17" hidden="1" outlineLevel="1">
      <c r="E5290" s="20"/>
      <c r="F5290" s="21"/>
      <c r="G5290" s="34"/>
      <c r="H5290" s="30"/>
      <c r="I5290" s="35"/>
      <c r="J5290" s="40"/>
      <c r="K5290" s="33"/>
      <c r="L5290" s="41"/>
      <c r="M5290" s="33"/>
      <c r="N5290" s="33">
        <v>38</v>
      </c>
      <c r="O5290" s="31">
        <f>ROUND(PRODUCT(J5290:N5290),2)</f>
        <v>38</v>
      </c>
      <c r="P5290" s="185"/>
      <c r="Q5290" s="185"/>
    </row>
    <row r="5291" spans="1:17" ht="45" hidden="1" outlineLevel="1">
      <c r="A5291" s="2">
        <v>11</v>
      </c>
      <c r="B5291" s="2">
        <v>12</v>
      </c>
      <c r="C5291" s="2">
        <f>C5289+1</f>
        <v>7</v>
      </c>
      <c r="E5291" s="20" t="str">
        <f>CONCATENATE(A5291,".",B5291,".",C5291)</f>
        <v>11.12.7</v>
      </c>
      <c r="F5291" s="21" t="s">
        <v>5595</v>
      </c>
      <c r="G5291" s="65">
        <v>99253</v>
      </c>
      <c r="H5291" s="23" t="s">
        <v>5596</v>
      </c>
      <c r="I5291" s="24" t="s">
        <v>36</v>
      </c>
      <c r="J5291" s="25"/>
      <c r="K5291" s="10"/>
      <c r="L5291" s="32"/>
      <c r="M5291" s="10"/>
      <c r="N5291" s="33"/>
      <c r="O5291" s="27">
        <f>SUM(O5292:O5292)</f>
        <v>188</v>
      </c>
      <c r="P5291" s="185"/>
      <c r="Q5291" s="185"/>
    </row>
    <row r="5292" spans="1:17" hidden="1" outlineLevel="1">
      <c r="E5292" s="20"/>
      <c r="F5292" s="21"/>
      <c r="G5292" s="34"/>
      <c r="H5292" s="30"/>
      <c r="I5292" s="35"/>
      <c r="J5292" s="40"/>
      <c r="K5292" s="33"/>
      <c r="L5292" s="41"/>
      <c r="M5292" s="33"/>
      <c r="N5292" s="33">
        <v>188</v>
      </c>
      <c r="O5292" s="31">
        <f>ROUND(PRODUCT(J5292:N5292),2)</f>
        <v>188</v>
      </c>
      <c r="P5292" s="185"/>
      <c r="Q5292" s="185"/>
    </row>
    <row r="5293" spans="1:17" ht="30" hidden="1" outlineLevel="1">
      <c r="A5293" s="2">
        <v>11</v>
      </c>
      <c r="B5293" s="2">
        <v>12</v>
      </c>
      <c r="C5293" s="2">
        <f>C5291+1</f>
        <v>8</v>
      </c>
      <c r="E5293" s="20" t="str">
        <f>CONCATENATE(A5293,".",B5293,".",C5293)</f>
        <v>11.12.8</v>
      </c>
      <c r="F5293" s="21" t="s">
        <v>5597</v>
      </c>
      <c r="G5293" s="65">
        <v>91927</v>
      </c>
      <c r="H5293" s="23" t="s">
        <v>927</v>
      </c>
      <c r="I5293" s="24" t="s">
        <v>144</v>
      </c>
      <c r="J5293" s="25"/>
      <c r="K5293" s="10"/>
      <c r="L5293" s="32"/>
      <c r="M5293" s="10"/>
      <c r="N5293" s="33"/>
      <c r="O5293" s="27">
        <f>SUM(O5294:O5294)</f>
        <v>4930.2</v>
      </c>
      <c r="P5293" s="185"/>
      <c r="Q5293" s="185"/>
    </row>
    <row r="5294" spans="1:17" hidden="1" outlineLevel="1">
      <c r="E5294" s="20"/>
      <c r="F5294" s="21"/>
      <c r="G5294" s="34"/>
      <c r="H5294" s="30"/>
      <c r="I5294" s="35"/>
      <c r="J5294" s="40"/>
      <c r="K5294" s="33"/>
      <c r="L5294" s="41"/>
      <c r="M5294" s="33"/>
      <c r="N5294" s="33">
        <v>4930.2</v>
      </c>
      <c r="O5294" s="31">
        <f>ROUND(PRODUCT(J5294:N5294),2)</f>
        <v>4930.2</v>
      </c>
      <c r="P5294" s="185"/>
      <c r="Q5294" s="185"/>
    </row>
    <row r="5295" spans="1:17" ht="30" hidden="1" outlineLevel="1">
      <c r="A5295" s="2">
        <v>11</v>
      </c>
      <c r="B5295" s="2">
        <v>12</v>
      </c>
      <c r="C5295" s="2">
        <f>C5293+1</f>
        <v>9</v>
      </c>
      <c r="E5295" s="20" t="str">
        <f>CONCATENATE(A5295,".",B5295,".",C5295)</f>
        <v>11.12.9</v>
      </c>
      <c r="F5295" s="21" t="s">
        <v>5598</v>
      </c>
      <c r="G5295" s="65">
        <v>91929</v>
      </c>
      <c r="H5295" s="23" t="s">
        <v>930</v>
      </c>
      <c r="I5295" s="24" t="s">
        <v>144</v>
      </c>
      <c r="J5295" s="25"/>
      <c r="K5295" s="10"/>
      <c r="L5295" s="32"/>
      <c r="M5295" s="10"/>
      <c r="N5295" s="33"/>
      <c r="O5295" s="27">
        <f>SUM(O5296:O5296)</f>
        <v>32528.6</v>
      </c>
      <c r="P5295" s="185"/>
      <c r="Q5295" s="185"/>
    </row>
    <row r="5296" spans="1:17" hidden="1" outlineLevel="1">
      <c r="E5296" s="20"/>
      <c r="F5296" s="21"/>
      <c r="G5296" s="34"/>
      <c r="H5296" s="30"/>
      <c r="I5296" s="35"/>
      <c r="J5296" s="40"/>
      <c r="K5296" s="33"/>
      <c r="L5296" s="41"/>
      <c r="M5296" s="33"/>
      <c r="N5296" s="33">
        <f>31328.6+1200</f>
        <v>32528.6</v>
      </c>
      <c r="O5296" s="31">
        <f>ROUND(PRODUCT(J5296:N5296),2)</f>
        <v>32528.6</v>
      </c>
      <c r="P5296" s="185"/>
      <c r="Q5296" s="185"/>
    </row>
    <row r="5297" spans="1:17" ht="30" hidden="1" outlineLevel="1">
      <c r="A5297" s="2">
        <v>11</v>
      </c>
      <c r="B5297" s="2">
        <v>12</v>
      </c>
      <c r="C5297" s="2">
        <f>C5295+1</f>
        <v>10</v>
      </c>
      <c r="E5297" s="20" t="str">
        <f>CONCATENATE(A5297,".",B5297,".",C5297)</f>
        <v>11.12.10</v>
      </c>
      <c r="F5297" s="21" t="s">
        <v>5599</v>
      </c>
      <c r="G5297" s="22">
        <v>91931</v>
      </c>
      <c r="H5297" s="23" t="s">
        <v>3204</v>
      </c>
      <c r="I5297" s="24" t="s">
        <v>144</v>
      </c>
      <c r="J5297" s="25"/>
      <c r="K5297" s="10"/>
      <c r="L5297" s="32"/>
      <c r="M5297" s="10"/>
      <c r="N5297" s="33"/>
      <c r="O5297" s="27">
        <f>SUM(O5298:O5298)</f>
        <v>6979.2</v>
      </c>
      <c r="P5297" s="185"/>
      <c r="Q5297" s="185"/>
    </row>
    <row r="5298" spans="1:17" hidden="1" outlineLevel="1">
      <c r="E5298" s="20"/>
      <c r="F5298" s="21"/>
      <c r="G5298" s="34"/>
      <c r="H5298" s="30"/>
      <c r="I5298" s="35"/>
      <c r="J5298" s="40"/>
      <c r="K5298" s="33"/>
      <c r="L5298" s="41"/>
      <c r="M5298" s="33"/>
      <c r="N5298" s="33">
        <v>6979.2</v>
      </c>
      <c r="O5298" s="31">
        <f>ROUND(PRODUCT(J5298:N5298),2)</f>
        <v>6979.2</v>
      </c>
      <c r="P5298" s="185"/>
      <c r="Q5298" s="185"/>
    </row>
    <row r="5299" spans="1:17" hidden="1" outlineLevel="1">
      <c r="A5299" s="2">
        <v>11</v>
      </c>
      <c r="B5299" s="2">
        <v>12</v>
      </c>
      <c r="C5299" s="2">
        <f>C5297+1</f>
        <v>11</v>
      </c>
      <c r="E5299" s="20" t="str">
        <f>CONCATENATE(A5299,".",B5299,".",C5299)</f>
        <v>11.12.11</v>
      </c>
      <c r="F5299" s="21" t="s">
        <v>5600</v>
      </c>
      <c r="G5299" s="22" t="s">
        <v>5601</v>
      </c>
      <c r="H5299" s="23" t="s">
        <v>5602</v>
      </c>
      <c r="I5299" s="24" t="s">
        <v>36</v>
      </c>
      <c r="J5299" s="25"/>
      <c r="K5299" s="10"/>
      <c r="L5299" s="32"/>
      <c r="M5299" s="10"/>
      <c r="N5299" s="33"/>
      <c r="O5299" s="27">
        <f>SUM(O5300:O5300)</f>
        <v>1</v>
      </c>
      <c r="P5299" s="185"/>
      <c r="Q5299" s="185"/>
    </row>
    <row r="5300" spans="1:17" hidden="1" outlineLevel="1">
      <c r="E5300" s="20"/>
      <c r="F5300" s="21"/>
      <c r="G5300" s="34"/>
      <c r="H5300" s="30"/>
      <c r="I5300" s="35"/>
      <c r="J5300" s="40"/>
      <c r="K5300" s="33"/>
      <c r="L5300" s="41"/>
      <c r="M5300" s="33"/>
      <c r="N5300" s="33">
        <v>1</v>
      </c>
      <c r="O5300" s="31">
        <f>ROUND(PRODUCT(J5300:N5300),2)</f>
        <v>1</v>
      </c>
      <c r="P5300" s="185"/>
      <c r="Q5300" s="185"/>
    </row>
    <row r="5301" spans="1:17" hidden="1" outlineLevel="1">
      <c r="A5301" s="2">
        <v>11</v>
      </c>
      <c r="B5301" s="2">
        <v>12</v>
      </c>
      <c r="C5301" s="2">
        <f>C5299+1</f>
        <v>12</v>
      </c>
      <c r="E5301" s="20" t="str">
        <f>CONCATENATE(A5301,".",B5301,".",C5301)</f>
        <v>11.12.12</v>
      </c>
      <c r="F5301" s="21" t="s">
        <v>5603</v>
      </c>
      <c r="G5301" s="22">
        <v>101904</v>
      </c>
      <c r="H5301" s="23" t="s">
        <v>5604</v>
      </c>
      <c r="I5301" s="24" t="s">
        <v>36</v>
      </c>
      <c r="J5301" s="25"/>
      <c r="K5301" s="10"/>
      <c r="L5301" s="32"/>
      <c r="M5301" s="10"/>
      <c r="N5301" s="33"/>
      <c r="O5301" s="27">
        <f>SUM(O5302:O5302)</f>
        <v>5</v>
      </c>
      <c r="P5301" s="185"/>
      <c r="Q5301" s="185"/>
    </row>
    <row r="5302" spans="1:17" hidden="1" outlineLevel="1">
      <c r="E5302" s="20"/>
      <c r="F5302" s="21"/>
      <c r="G5302" s="34"/>
      <c r="H5302" s="30"/>
      <c r="I5302" s="35"/>
      <c r="J5302" s="40"/>
      <c r="K5302" s="33"/>
      <c r="L5302" s="41"/>
      <c r="M5302" s="33"/>
      <c r="N5302" s="33">
        <v>5</v>
      </c>
      <c r="O5302" s="31">
        <f>ROUND(PRODUCT(J5302:N5302),2)</f>
        <v>5</v>
      </c>
      <c r="P5302" s="185"/>
      <c r="Q5302" s="185"/>
    </row>
    <row r="5303" spans="1:17" hidden="1" outlineLevel="1">
      <c r="A5303" s="2">
        <v>11</v>
      </c>
      <c r="B5303" s="2">
        <v>12</v>
      </c>
      <c r="C5303" s="2">
        <f>C5301+1</f>
        <v>13</v>
      </c>
      <c r="E5303" s="20" t="str">
        <f>CONCATENATE(A5303,".",B5303,".",C5303)</f>
        <v>11.12.13</v>
      </c>
      <c r="F5303" s="21" t="s">
        <v>5605</v>
      </c>
      <c r="G5303" s="22" t="s">
        <v>5606</v>
      </c>
      <c r="H5303" s="23" t="s">
        <v>5607</v>
      </c>
      <c r="I5303" s="24" t="s">
        <v>36</v>
      </c>
      <c r="J5303" s="25"/>
      <c r="K5303" s="10"/>
      <c r="L5303" s="32"/>
      <c r="M5303" s="10"/>
      <c r="N5303" s="33"/>
      <c r="O5303" s="27">
        <f>SUM(O5304:O5304)</f>
        <v>5</v>
      </c>
      <c r="P5303" s="185"/>
      <c r="Q5303" s="185"/>
    </row>
    <row r="5304" spans="1:17" hidden="1" outlineLevel="1">
      <c r="E5304" s="20"/>
      <c r="F5304" s="21"/>
      <c r="G5304" s="34"/>
      <c r="H5304" s="30"/>
      <c r="I5304" s="35"/>
      <c r="J5304" s="40"/>
      <c r="K5304" s="33"/>
      <c r="L5304" s="41"/>
      <c r="M5304" s="33"/>
      <c r="N5304" s="33">
        <v>5</v>
      </c>
      <c r="O5304" s="31">
        <f>ROUND(PRODUCT(J5304:N5304),2)</f>
        <v>5</v>
      </c>
      <c r="P5304" s="185"/>
      <c r="Q5304" s="185"/>
    </row>
    <row r="5305" spans="1:17" hidden="1" outlineLevel="1">
      <c r="A5305" s="2">
        <v>11</v>
      </c>
      <c r="B5305" s="2">
        <v>12</v>
      </c>
      <c r="C5305" s="2">
        <f>C5303+1</f>
        <v>14</v>
      </c>
      <c r="E5305" s="20" t="str">
        <f>CONCATENATE(A5305,".",B5305,".",C5305)</f>
        <v>11.12.14</v>
      </c>
      <c r="F5305" s="21" t="s">
        <v>5608</v>
      </c>
      <c r="G5305" s="22" t="s">
        <v>5609</v>
      </c>
      <c r="H5305" s="23" t="s">
        <v>5610</v>
      </c>
      <c r="I5305" s="24" t="s">
        <v>36</v>
      </c>
      <c r="J5305" s="25"/>
      <c r="K5305" s="10"/>
      <c r="L5305" s="32"/>
      <c r="M5305" s="10"/>
      <c r="N5305" s="33"/>
      <c r="O5305" s="27">
        <f>SUM(O5306:O5306)</f>
        <v>1</v>
      </c>
      <c r="P5305" s="185"/>
      <c r="Q5305" s="185"/>
    </row>
    <row r="5306" spans="1:17" hidden="1" outlineLevel="1">
      <c r="E5306" s="20"/>
      <c r="F5306" s="21"/>
      <c r="G5306" s="34"/>
      <c r="H5306" s="30"/>
      <c r="I5306" s="35"/>
      <c r="J5306" s="40"/>
      <c r="K5306" s="33"/>
      <c r="L5306" s="41"/>
      <c r="M5306" s="33"/>
      <c r="N5306" s="33">
        <v>1</v>
      </c>
      <c r="O5306" s="31">
        <f>ROUND(PRODUCT(J5306:N5306),2)</f>
        <v>1</v>
      </c>
      <c r="P5306" s="185"/>
      <c r="Q5306" s="185"/>
    </row>
    <row r="5307" spans="1:17" hidden="1" outlineLevel="1">
      <c r="A5307" s="2">
        <v>11</v>
      </c>
      <c r="B5307" s="2">
        <v>12</v>
      </c>
      <c r="C5307" s="2">
        <f>C5305+1</f>
        <v>15</v>
      </c>
      <c r="E5307" s="20" t="str">
        <f>CONCATENATE(A5307,".",B5307,".",C5307)</f>
        <v>11.12.15</v>
      </c>
      <c r="F5307" s="21" t="s">
        <v>5611</v>
      </c>
      <c r="G5307" s="22" t="s">
        <v>5612</v>
      </c>
      <c r="H5307" s="23" t="s">
        <v>5613</v>
      </c>
      <c r="I5307" s="24" t="s">
        <v>36</v>
      </c>
      <c r="J5307" s="25"/>
      <c r="K5307" s="10"/>
      <c r="L5307" s="32"/>
      <c r="M5307" s="10"/>
      <c r="N5307" s="33"/>
      <c r="O5307" s="27">
        <f>SUM(O5308:O5308)</f>
        <v>4</v>
      </c>
      <c r="P5307" s="185"/>
      <c r="Q5307" s="185"/>
    </row>
    <row r="5308" spans="1:17" hidden="1" outlineLevel="1">
      <c r="E5308" s="20"/>
      <c r="F5308" s="21"/>
      <c r="G5308" s="34"/>
      <c r="H5308" s="30"/>
      <c r="I5308" s="35"/>
      <c r="J5308" s="40"/>
      <c r="K5308" s="33"/>
      <c r="L5308" s="41"/>
      <c r="M5308" s="33"/>
      <c r="N5308" s="33">
        <v>4</v>
      </c>
      <c r="O5308" s="31">
        <f>ROUND(PRODUCT(J5308:N5308),2)</f>
        <v>4</v>
      </c>
      <c r="P5308" s="185"/>
      <c r="Q5308" s="185"/>
    </row>
    <row r="5309" spans="1:17" hidden="1" outlineLevel="1">
      <c r="A5309" s="2">
        <v>11</v>
      </c>
      <c r="B5309" s="2">
        <v>12</v>
      </c>
      <c r="C5309" s="2">
        <f>C5307+1</f>
        <v>16</v>
      </c>
      <c r="E5309" s="20" t="str">
        <f>CONCATENATE(A5309,".",B5309,".",C5309)</f>
        <v>11.12.16</v>
      </c>
      <c r="F5309" s="21" t="s">
        <v>5614</v>
      </c>
      <c r="G5309" s="22" t="s">
        <v>5615</v>
      </c>
      <c r="H5309" s="23" t="s">
        <v>5616</v>
      </c>
      <c r="I5309" s="24" t="s">
        <v>36</v>
      </c>
      <c r="J5309" s="25"/>
      <c r="K5309" s="10"/>
      <c r="L5309" s="32"/>
      <c r="M5309" s="10"/>
      <c r="N5309" s="33"/>
      <c r="O5309" s="27">
        <f>SUM(O5310:O5310)</f>
        <v>4</v>
      </c>
      <c r="P5309" s="185"/>
      <c r="Q5309" s="185"/>
    </row>
    <row r="5310" spans="1:17" hidden="1" outlineLevel="1">
      <c r="E5310" s="20"/>
      <c r="F5310" s="21"/>
      <c r="G5310" s="34"/>
      <c r="H5310" s="30"/>
      <c r="I5310" s="35"/>
      <c r="J5310" s="40"/>
      <c r="K5310" s="33"/>
      <c r="L5310" s="41"/>
      <c r="M5310" s="33"/>
      <c r="N5310" s="33">
        <v>4</v>
      </c>
      <c r="O5310" s="31">
        <f>ROUND(PRODUCT(J5310:N5310),2)</f>
        <v>4</v>
      </c>
      <c r="P5310" s="185"/>
      <c r="Q5310" s="185"/>
    </row>
    <row r="5311" spans="1:17" ht="30" hidden="1" outlineLevel="1">
      <c r="A5311" s="2">
        <v>11</v>
      </c>
      <c r="B5311" s="2">
        <v>12</v>
      </c>
      <c r="C5311" s="2">
        <f>C5309+1</f>
        <v>17</v>
      </c>
      <c r="E5311" s="20" t="str">
        <f>CONCATENATE(A5311,".",B5311,".",C5311)</f>
        <v>11.12.17</v>
      </c>
      <c r="F5311" s="21" t="s">
        <v>5617</v>
      </c>
      <c r="G5311" s="22">
        <v>93653</v>
      </c>
      <c r="H5311" s="23" t="s">
        <v>513</v>
      </c>
      <c r="I5311" s="24" t="s">
        <v>36</v>
      </c>
      <c r="J5311" s="25"/>
      <c r="K5311" s="10"/>
      <c r="L5311" s="32"/>
      <c r="M5311" s="10"/>
      <c r="N5311" s="33"/>
      <c r="O5311" s="27">
        <f>SUM(O5312:O5312)</f>
        <v>13</v>
      </c>
      <c r="P5311" s="185"/>
      <c r="Q5311" s="185"/>
    </row>
    <row r="5312" spans="1:17" hidden="1" outlineLevel="1">
      <c r="E5312" s="20"/>
      <c r="F5312" s="21"/>
      <c r="G5312" s="34"/>
      <c r="H5312" s="30"/>
      <c r="I5312" s="35"/>
      <c r="J5312" s="40"/>
      <c r="K5312" s="33"/>
      <c r="L5312" s="41"/>
      <c r="M5312" s="33"/>
      <c r="N5312" s="33">
        <f>4+4+4+1</f>
        <v>13</v>
      </c>
      <c r="O5312" s="31">
        <f>ROUND(PRODUCT(J5312:N5312),2)</f>
        <v>13</v>
      </c>
      <c r="P5312" s="185"/>
      <c r="Q5312" s="185"/>
    </row>
    <row r="5313" spans="1:17" ht="30" hidden="1" outlineLevel="1">
      <c r="A5313" s="2">
        <v>11</v>
      </c>
      <c r="B5313" s="2">
        <v>12</v>
      </c>
      <c r="C5313" s="2">
        <f>C5311+1</f>
        <v>18</v>
      </c>
      <c r="E5313" s="20" t="str">
        <f>CONCATENATE(A5313,".",B5313,".",C5313)</f>
        <v>11.12.18</v>
      </c>
      <c r="F5313" s="21" t="s">
        <v>5618</v>
      </c>
      <c r="G5313" s="22">
        <v>93654</v>
      </c>
      <c r="H5313" s="23" t="s">
        <v>510</v>
      </c>
      <c r="I5313" s="24" t="s">
        <v>36</v>
      </c>
      <c r="J5313" s="25"/>
      <c r="K5313" s="10"/>
      <c r="L5313" s="32"/>
      <c r="M5313" s="10"/>
      <c r="N5313" s="33"/>
      <c r="O5313" s="27">
        <f>SUM(O5314:O5314)</f>
        <v>3</v>
      </c>
      <c r="P5313" s="185"/>
      <c r="Q5313" s="185"/>
    </row>
    <row r="5314" spans="1:17" hidden="1" outlineLevel="1">
      <c r="E5314" s="20"/>
      <c r="F5314" s="21"/>
      <c r="G5314" s="34"/>
      <c r="H5314" s="30"/>
      <c r="I5314" s="35"/>
      <c r="J5314" s="40"/>
      <c r="K5314" s="33"/>
      <c r="L5314" s="41"/>
      <c r="M5314" s="33"/>
      <c r="N5314" s="33">
        <f>1+1+1</f>
        <v>3</v>
      </c>
      <c r="O5314" s="31">
        <f>ROUND(PRODUCT(J5314:N5314),2)</f>
        <v>3</v>
      </c>
      <c r="P5314" s="185"/>
      <c r="Q5314" s="185"/>
    </row>
    <row r="5315" spans="1:17" ht="30" hidden="1" outlineLevel="1">
      <c r="A5315" s="2">
        <v>11</v>
      </c>
      <c r="B5315" s="2">
        <v>12</v>
      </c>
      <c r="C5315" s="2">
        <f>C5313+1</f>
        <v>19</v>
      </c>
      <c r="E5315" s="20" t="str">
        <f>CONCATENATE(A5315,".",B5315,".",C5315)</f>
        <v>11.12.19</v>
      </c>
      <c r="F5315" s="21" t="s">
        <v>5619</v>
      </c>
      <c r="G5315" s="22">
        <v>93655</v>
      </c>
      <c r="H5315" s="23" t="s">
        <v>507</v>
      </c>
      <c r="I5315" s="24" t="s">
        <v>36</v>
      </c>
      <c r="J5315" s="25"/>
      <c r="K5315" s="10"/>
      <c r="L5315" s="32"/>
      <c r="M5315" s="10"/>
      <c r="N5315" s="33"/>
      <c r="O5315" s="27">
        <f>SUM(O5316:O5316)</f>
        <v>8</v>
      </c>
      <c r="P5315" s="185"/>
      <c r="Q5315" s="185"/>
    </row>
    <row r="5316" spans="1:17" hidden="1" outlineLevel="1">
      <c r="E5316" s="20"/>
      <c r="F5316" s="21"/>
      <c r="G5316" s="34"/>
      <c r="H5316" s="30"/>
      <c r="I5316" s="35"/>
      <c r="J5316" s="40"/>
      <c r="K5316" s="33"/>
      <c r="L5316" s="41"/>
      <c r="M5316" s="33"/>
      <c r="N5316" s="33">
        <f>4+4</f>
        <v>8</v>
      </c>
      <c r="O5316" s="31">
        <f>ROUND(PRODUCT(J5316:N5316),2)</f>
        <v>8</v>
      </c>
      <c r="P5316" s="185"/>
      <c r="Q5316" s="185"/>
    </row>
    <row r="5317" spans="1:17" ht="30" hidden="1" outlineLevel="1">
      <c r="A5317" s="2">
        <v>11</v>
      </c>
      <c r="B5317" s="2">
        <v>12</v>
      </c>
      <c r="C5317" s="2">
        <f>C5315+1</f>
        <v>20</v>
      </c>
      <c r="E5317" s="20" t="str">
        <f>CONCATENATE(A5317,".",B5317,".",C5317)</f>
        <v>11.12.20</v>
      </c>
      <c r="F5317" s="21" t="s">
        <v>5620</v>
      </c>
      <c r="G5317" s="22">
        <v>93656</v>
      </c>
      <c r="H5317" s="23" t="s">
        <v>504</v>
      </c>
      <c r="I5317" s="24" t="s">
        <v>36</v>
      </c>
      <c r="J5317" s="25"/>
      <c r="K5317" s="10"/>
      <c r="L5317" s="32"/>
      <c r="M5317" s="10"/>
      <c r="N5317" s="33"/>
      <c r="O5317" s="27">
        <f>SUM(O5318:O5318)</f>
        <v>17</v>
      </c>
      <c r="P5317" s="185"/>
      <c r="Q5317" s="185"/>
    </row>
    <row r="5318" spans="1:17" hidden="1" outlineLevel="1">
      <c r="E5318" s="20"/>
      <c r="F5318" s="21"/>
      <c r="G5318" s="34"/>
      <c r="H5318" s="30"/>
      <c r="I5318" s="35"/>
      <c r="J5318" s="40"/>
      <c r="K5318" s="33"/>
      <c r="L5318" s="41"/>
      <c r="M5318" s="33"/>
      <c r="N5318" s="33">
        <f>2+10+2+3</f>
        <v>17</v>
      </c>
      <c r="O5318" s="31">
        <f>ROUND(PRODUCT(J5318:N5318),2)</f>
        <v>17</v>
      </c>
      <c r="P5318" s="185"/>
      <c r="Q5318" s="185"/>
    </row>
    <row r="5319" spans="1:17" ht="30" hidden="1" outlineLevel="1">
      <c r="A5319" s="2">
        <v>11</v>
      </c>
      <c r="B5319" s="2">
        <v>12</v>
      </c>
      <c r="C5319" s="2">
        <f>C5317+1</f>
        <v>21</v>
      </c>
      <c r="E5319" s="20" t="str">
        <f>CONCATENATE(A5319,".",B5319,".",C5319)</f>
        <v>11.12.21</v>
      </c>
      <c r="F5319" s="21" t="s">
        <v>5621</v>
      </c>
      <c r="G5319" s="22">
        <v>93657</v>
      </c>
      <c r="H5319" s="23" t="s">
        <v>4782</v>
      </c>
      <c r="I5319" s="24" t="s">
        <v>36</v>
      </c>
      <c r="J5319" s="25"/>
      <c r="K5319" s="10"/>
      <c r="L5319" s="32"/>
      <c r="M5319" s="10"/>
      <c r="N5319" s="33"/>
      <c r="O5319" s="27">
        <f>SUM(O5320:O5320)</f>
        <v>18</v>
      </c>
      <c r="P5319" s="185"/>
      <c r="Q5319" s="185"/>
    </row>
    <row r="5320" spans="1:17" hidden="1" outlineLevel="1">
      <c r="E5320" s="20"/>
      <c r="F5320" s="21"/>
      <c r="G5320" s="34"/>
      <c r="H5320" s="30"/>
      <c r="I5320" s="35"/>
      <c r="J5320" s="40"/>
      <c r="K5320" s="33"/>
      <c r="L5320" s="41"/>
      <c r="M5320" s="33"/>
      <c r="N5320" s="33">
        <f>8+9+1</f>
        <v>18</v>
      </c>
      <c r="O5320" s="31">
        <f>ROUND(PRODUCT(J5320:N5320),2)</f>
        <v>18</v>
      </c>
      <c r="P5320" s="185"/>
      <c r="Q5320" s="185"/>
    </row>
    <row r="5321" spans="1:17" ht="30" hidden="1" outlineLevel="1">
      <c r="A5321" s="2">
        <v>11</v>
      </c>
      <c r="B5321" s="2">
        <v>12</v>
      </c>
      <c r="C5321" s="2">
        <f>C5319+1</f>
        <v>22</v>
      </c>
      <c r="E5321" s="20" t="str">
        <f>CONCATENATE(A5321,".",B5321,".",C5321)</f>
        <v>11.12.22</v>
      </c>
      <c r="F5321" s="21" t="s">
        <v>5622</v>
      </c>
      <c r="G5321" s="22">
        <v>101895</v>
      </c>
      <c r="H5321" s="23" t="s">
        <v>3185</v>
      </c>
      <c r="I5321" s="24" t="s">
        <v>36</v>
      </c>
      <c r="J5321" s="25"/>
      <c r="K5321" s="10"/>
      <c r="L5321" s="32"/>
      <c r="M5321" s="10"/>
      <c r="N5321" s="33"/>
      <c r="O5321" s="27">
        <f>SUM(O5322:O5322)</f>
        <v>2</v>
      </c>
      <c r="P5321" s="185"/>
      <c r="Q5321" s="185"/>
    </row>
    <row r="5322" spans="1:17" hidden="1" outlineLevel="1">
      <c r="E5322" s="20"/>
      <c r="F5322" s="21"/>
      <c r="G5322" s="34"/>
      <c r="H5322" s="30"/>
      <c r="I5322" s="35"/>
      <c r="J5322" s="40"/>
      <c r="K5322" s="33"/>
      <c r="L5322" s="41"/>
      <c r="M5322" s="33"/>
      <c r="N5322" s="33">
        <v>2</v>
      </c>
      <c r="O5322" s="31">
        <f>ROUND(PRODUCT(J5322:N5322),2)</f>
        <v>2</v>
      </c>
      <c r="P5322" s="185"/>
      <c r="Q5322" s="185"/>
    </row>
    <row r="5323" spans="1:17" hidden="1" outlineLevel="1">
      <c r="A5323" s="2">
        <v>11</v>
      </c>
      <c r="B5323" s="2">
        <v>12</v>
      </c>
      <c r="C5323" s="2">
        <f>C5321+1</f>
        <v>23</v>
      </c>
      <c r="E5323" s="20" t="str">
        <f>CONCATENATE(A5323,".",B5323,".",C5323)</f>
        <v>11.12.23</v>
      </c>
      <c r="F5323" s="21" t="s">
        <v>5623</v>
      </c>
      <c r="G5323" s="22" t="s">
        <v>5624</v>
      </c>
      <c r="H5323" s="23" t="s">
        <v>5625</v>
      </c>
      <c r="I5323" s="24" t="s">
        <v>36</v>
      </c>
      <c r="J5323" s="25"/>
      <c r="K5323" s="10"/>
      <c r="L5323" s="32"/>
      <c r="M5323" s="10"/>
      <c r="N5323" s="33"/>
      <c r="O5323" s="27">
        <f>SUM(O5324:O5324)</f>
        <v>1</v>
      </c>
      <c r="P5323" s="185"/>
      <c r="Q5323" s="185"/>
    </row>
    <row r="5324" spans="1:17" hidden="1" outlineLevel="1">
      <c r="E5324" s="20"/>
      <c r="F5324" s="21"/>
      <c r="G5324" s="34"/>
      <c r="H5324" s="30"/>
      <c r="I5324" s="35"/>
      <c r="J5324" s="40"/>
      <c r="K5324" s="33"/>
      <c r="L5324" s="41"/>
      <c r="M5324" s="33"/>
      <c r="N5324" s="33">
        <v>1</v>
      </c>
      <c r="O5324" s="31">
        <f>ROUND(PRODUCT(J5324:N5324),2)</f>
        <v>1</v>
      </c>
      <c r="P5324" s="185"/>
      <c r="Q5324" s="185"/>
    </row>
    <row r="5325" spans="1:17" hidden="1" outlineLevel="1">
      <c r="A5325" s="2">
        <v>11</v>
      </c>
      <c r="B5325" s="2">
        <v>12</v>
      </c>
      <c r="C5325" s="2">
        <f>C5323+1</f>
        <v>24</v>
      </c>
      <c r="E5325" s="20" t="str">
        <f>CONCATENATE(A5325,".",B5325,".",C5325)</f>
        <v>11.12.24</v>
      </c>
      <c r="F5325" s="21" t="s">
        <v>5626</v>
      </c>
      <c r="G5325" s="22" t="s">
        <v>5627</v>
      </c>
      <c r="H5325" s="23" t="s">
        <v>3248</v>
      </c>
      <c r="I5325" s="24" t="s">
        <v>36</v>
      </c>
      <c r="J5325" s="25"/>
      <c r="K5325" s="10"/>
      <c r="L5325" s="32"/>
      <c r="M5325" s="10"/>
      <c r="N5325" s="33"/>
      <c r="O5325" s="27">
        <f>SUM(O5326:O5326)</f>
        <v>1</v>
      </c>
      <c r="P5325" s="185"/>
      <c r="Q5325" s="185"/>
    </row>
    <row r="5326" spans="1:17" hidden="1" outlineLevel="1">
      <c r="E5326" s="20"/>
      <c r="F5326" s="21"/>
      <c r="G5326" s="34"/>
      <c r="H5326" s="30"/>
      <c r="I5326" s="35"/>
      <c r="J5326" s="40"/>
      <c r="K5326" s="33"/>
      <c r="L5326" s="41"/>
      <c r="M5326" s="33"/>
      <c r="N5326" s="33">
        <v>1</v>
      </c>
      <c r="O5326" s="31">
        <f>ROUND(PRODUCT(J5326:N5326),2)</f>
        <v>1</v>
      </c>
      <c r="P5326" s="185"/>
      <c r="Q5326" s="185"/>
    </row>
    <row r="5327" spans="1:17" hidden="1" outlineLevel="1">
      <c r="A5327" s="2">
        <v>11</v>
      </c>
      <c r="B5327" s="2">
        <v>12</v>
      </c>
      <c r="C5327" s="2">
        <f>C5325+1</f>
        <v>25</v>
      </c>
      <c r="E5327" s="20" t="str">
        <f>CONCATENATE(A5327,".",B5327,".",C5327)</f>
        <v>11.12.25</v>
      </c>
      <c r="F5327" s="21" t="s">
        <v>5628</v>
      </c>
      <c r="G5327" s="22" t="s">
        <v>5629</v>
      </c>
      <c r="H5327" s="23" t="s">
        <v>4221</v>
      </c>
      <c r="I5327" s="24" t="s">
        <v>36</v>
      </c>
      <c r="J5327" s="25"/>
      <c r="K5327" s="10"/>
      <c r="L5327" s="32"/>
      <c r="M5327" s="10"/>
      <c r="N5327" s="33"/>
      <c r="O5327" s="27">
        <f>SUM(O5328:O5328)</f>
        <v>16</v>
      </c>
      <c r="P5327" s="185"/>
      <c r="Q5327" s="185"/>
    </row>
    <row r="5328" spans="1:17" hidden="1" outlineLevel="1">
      <c r="E5328" s="20"/>
      <c r="F5328" s="21"/>
      <c r="G5328" s="34"/>
      <c r="H5328" s="30"/>
      <c r="I5328" s="35"/>
      <c r="J5328" s="40"/>
      <c r="K5328" s="33"/>
      <c r="L5328" s="41"/>
      <c r="M5328" s="33"/>
      <c r="N5328" s="33">
        <f>4+4+4+4</f>
        <v>16</v>
      </c>
      <c r="O5328" s="31">
        <f>ROUND(PRODUCT(J5328:N5328),2)</f>
        <v>16</v>
      </c>
      <c r="P5328" s="185"/>
      <c r="Q5328" s="185"/>
    </row>
    <row r="5329" spans="1:17" ht="45" hidden="1" outlineLevel="1">
      <c r="A5329" s="2">
        <v>11</v>
      </c>
      <c r="B5329" s="2">
        <v>12</v>
      </c>
      <c r="C5329" s="2">
        <f>C5327+1</f>
        <v>26</v>
      </c>
      <c r="E5329" s="20" t="str">
        <f>CONCATENATE(A5329,".",B5329,".",C5329)</f>
        <v>11.12.26</v>
      </c>
      <c r="F5329" s="21" t="s">
        <v>5630</v>
      </c>
      <c r="G5329" s="22">
        <v>101561</v>
      </c>
      <c r="H5329" s="23" t="s">
        <v>3738</v>
      </c>
      <c r="I5329" s="24" t="s">
        <v>144</v>
      </c>
      <c r="J5329" s="25"/>
      <c r="K5329" s="10"/>
      <c r="L5329" s="32"/>
      <c r="M5329" s="10"/>
      <c r="N5329" s="33"/>
      <c r="O5329" s="27">
        <f>SUM(O5330:O5330)</f>
        <v>205</v>
      </c>
      <c r="P5329" s="185"/>
      <c r="Q5329" s="185"/>
    </row>
    <row r="5330" spans="1:17" hidden="1" outlineLevel="1">
      <c r="E5330" s="20"/>
      <c r="F5330" s="21"/>
      <c r="G5330" s="34"/>
      <c r="H5330" s="30"/>
      <c r="I5330" s="35"/>
      <c r="J5330" s="40"/>
      <c r="K5330" s="33"/>
      <c r="L5330" s="41"/>
      <c r="M5330" s="33"/>
      <c r="N5330" s="33">
        <f>25+30+75+75</f>
        <v>205</v>
      </c>
      <c r="O5330" s="31">
        <f>ROUND(PRODUCT(J5330:N5330),2)</f>
        <v>205</v>
      </c>
      <c r="P5330" s="185"/>
      <c r="Q5330" s="185"/>
    </row>
    <row r="5331" spans="1:17" ht="45" hidden="1" outlineLevel="1">
      <c r="A5331" s="2">
        <v>11</v>
      </c>
      <c r="B5331" s="2">
        <v>12</v>
      </c>
      <c r="C5331" s="2">
        <f>C5329+1</f>
        <v>27</v>
      </c>
      <c r="E5331" s="20" t="str">
        <f>CONCATENATE(A5331,".",B5331,".",C5331)</f>
        <v>11.12.27</v>
      </c>
      <c r="F5331" s="21" t="s">
        <v>5631</v>
      </c>
      <c r="G5331" s="22">
        <v>101562</v>
      </c>
      <c r="H5331" s="23" t="s">
        <v>5632</v>
      </c>
      <c r="I5331" s="24" t="s">
        <v>144</v>
      </c>
      <c r="J5331" s="25"/>
      <c r="K5331" s="10"/>
      <c r="L5331" s="32"/>
      <c r="M5331" s="10"/>
      <c r="N5331" s="33"/>
      <c r="O5331" s="27">
        <f>SUM(O5332:O5332)</f>
        <v>445</v>
      </c>
      <c r="P5331" s="185"/>
      <c r="Q5331" s="185"/>
    </row>
    <row r="5332" spans="1:17" hidden="1" outlineLevel="1">
      <c r="E5332" s="20"/>
      <c r="F5332" s="21"/>
      <c r="G5332" s="34"/>
      <c r="H5332" s="30"/>
      <c r="I5332" s="35"/>
      <c r="J5332" s="40"/>
      <c r="K5332" s="33"/>
      <c r="L5332" s="41"/>
      <c r="M5332" s="33"/>
      <c r="N5332" s="33">
        <f>25+120+300</f>
        <v>445</v>
      </c>
      <c r="O5332" s="31">
        <f>ROUND(PRODUCT(J5332:N5332),2)</f>
        <v>445</v>
      </c>
      <c r="P5332" s="185"/>
      <c r="Q5332" s="185"/>
    </row>
    <row r="5333" spans="1:17" ht="45" hidden="1" outlineLevel="1">
      <c r="A5333" s="2">
        <v>11</v>
      </c>
      <c r="B5333" s="2">
        <v>12</v>
      </c>
      <c r="C5333" s="2">
        <f>C5331+1</f>
        <v>28</v>
      </c>
      <c r="E5333" s="20" t="str">
        <f>CONCATENATE(A5333,".",B5333,".",C5333)</f>
        <v>11.12.28</v>
      </c>
      <c r="F5333" s="21" t="s">
        <v>5633</v>
      </c>
      <c r="G5333" s="22">
        <v>101563</v>
      </c>
      <c r="H5333" s="23" t="s">
        <v>3740</v>
      </c>
      <c r="I5333" s="24" t="s">
        <v>144</v>
      </c>
      <c r="J5333" s="25"/>
      <c r="K5333" s="10"/>
      <c r="L5333" s="32"/>
      <c r="M5333" s="10"/>
      <c r="N5333" s="33"/>
      <c r="O5333" s="27">
        <f>SUM(O5334:O5334)</f>
        <v>75</v>
      </c>
      <c r="P5333" s="185"/>
      <c r="Q5333" s="185"/>
    </row>
    <row r="5334" spans="1:17" hidden="1" outlineLevel="1">
      <c r="E5334" s="20"/>
      <c r="F5334" s="21"/>
      <c r="G5334" s="34"/>
      <c r="H5334" s="30"/>
      <c r="I5334" s="35"/>
      <c r="J5334" s="40"/>
      <c r="K5334" s="33"/>
      <c r="L5334" s="41"/>
      <c r="M5334" s="33"/>
      <c r="N5334" s="33">
        <v>75</v>
      </c>
      <c r="O5334" s="31">
        <f>ROUND(PRODUCT(J5334:N5334),2)</f>
        <v>75</v>
      </c>
      <c r="P5334" s="185"/>
      <c r="Q5334" s="185"/>
    </row>
    <row r="5335" spans="1:17" ht="30" hidden="1" outlineLevel="1">
      <c r="A5335" s="2">
        <v>11</v>
      </c>
      <c r="B5335" s="2">
        <v>12</v>
      </c>
      <c r="C5335" s="2">
        <f>C5333+1</f>
        <v>29</v>
      </c>
      <c r="E5335" s="20" t="str">
        <f>CONCATENATE(A5335,".",B5335,".",C5335)</f>
        <v>11.12.29</v>
      </c>
      <c r="F5335" s="21" t="s">
        <v>5634</v>
      </c>
      <c r="G5335" s="22">
        <v>92980</v>
      </c>
      <c r="H5335" s="23" t="s">
        <v>3734</v>
      </c>
      <c r="I5335" s="24" t="s">
        <v>144</v>
      </c>
      <c r="J5335" s="25"/>
      <c r="K5335" s="10"/>
      <c r="L5335" s="32"/>
      <c r="M5335" s="10"/>
      <c r="N5335" s="33"/>
      <c r="O5335" s="27">
        <f>SUM(O5336:O5336)</f>
        <v>1860</v>
      </c>
      <c r="P5335" s="185"/>
      <c r="Q5335" s="185"/>
    </row>
    <row r="5336" spans="1:17" hidden="1" outlineLevel="1">
      <c r="E5336" s="20"/>
      <c r="F5336" s="21"/>
      <c r="G5336" s="34"/>
      <c r="H5336" s="30"/>
      <c r="I5336" s="35"/>
      <c r="J5336" s="40"/>
      <c r="K5336" s="33"/>
      <c r="L5336" s="41"/>
      <c r="M5336" s="33"/>
      <c r="N5336" s="33">
        <v>1860</v>
      </c>
      <c r="O5336" s="31">
        <f>ROUND(PRODUCT(J5336:N5336),2)</f>
        <v>1860</v>
      </c>
      <c r="P5336" s="185"/>
      <c r="Q5336" s="185"/>
    </row>
    <row r="5337" spans="1:17" collapsed="1"/>
  </sheetData>
  <mergeCells count="7">
    <mergeCell ref="P1067:R1067"/>
    <mergeCell ref="P3:Q3"/>
    <mergeCell ref="A1:D1"/>
    <mergeCell ref="E1:F1"/>
    <mergeCell ref="G1:H1"/>
    <mergeCell ref="I1:J1"/>
    <mergeCell ref="A2:O2"/>
  </mergeCells>
  <phoneticPr fontId="25" type="noConversion"/>
  <conditionalFormatting sqref="E3064">
    <cfRule type="duplicateValues" dxfId="81" priority="193"/>
  </conditionalFormatting>
  <conditionalFormatting sqref="E3066">
    <cfRule type="duplicateValues" dxfId="80" priority="191"/>
  </conditionalFormatting>
  <conditionalFormatting sqref="E3068">
    <cfRule type="duplicateValues" dxfId="79" priority="190"/>
  </conditionalFormatting>
  <conditionalFormatting sqref="E3070">
    <cfRule type="duplicateValues" dxfId="78" priority="62"/>
  </conditionalFormatting>
  <conditionalFormatting sqref="E3072">
    <cfRule type="duplicateValues" dxfId="77" priority="179"/>
  </conditionalFormatting>
  <conditionalFormatting sqref="E3074">
    <cfRule type="duplicateValues" dxfId="76" priority="178"/>
  </conditionalFormatting>
  <conditionalFormatting sqref="E3076">
    <cfRule type="duplicateValues" dxfId="75" priority="176"/>
  </conditionalFormatting>
  <conditionalFormatting sqref="E3078">
    <cfRule type="duplicateValues" dxfId="74" priority="175"/>
  </conditionalFormatting>
  <conditionalFormatting sqref="E3080">
    <cfRule type="duplicateValues" dxfId="73" priority="174"/>
  </conditionalFormatting>
  <conditionalFormatting sqref="E3082">
    <cfRule type="duplicateValues" dxfId="72" priority="173"/>
  </conditionalFormatting>
  <conditionalFormatting sqref="E3085">
    <cfRule type="duplicateValues" dxfId="71" priority="165"/>
  </conditionalFormatting>
  <conditionalFormatting sqref="E3087">
    <cfRule type="duplicateValues" dxfId="70" priority="164"/>
  </conditionalFormatting>
  <conditionalFormatting sqref="E3089">
    <cfRule type="duplicateValues" dxfId="69" priority="163"/>
  </conditionalFormatting>
  <conditionalFormatting sqref="E3091">
    <cfRule type="duplicateValues" dxfId="68" priority="160"/>
  </conditionalFormatting>
  <conditionalFormatting sqref="E3093">
    <cfRule type="duplicateValues" dxfId="67" priority="159"/>
  </conditionalFormatting>
  <conditionalFormatting sqref="E3095">
    <cfRule type="duplicateValues" dxfId="66" priority="158"/>
  </conditionalFormatting>
  <conditionalFormatting sqref="E3097">
    <cfRule type="duplicateValues" dxfId="65" priority="157"/>
  </conditionalFormatting>
  <conditionalFormatting sqref="E3099">
    <cfRule type="duplicateValues" dxfId="64" priority="156"/>
  </conditionalFormatting>
  <conditionalFormatting sqref="E3101">
    <cfRule type="duplicateValues" dxfId="63" priority="155"/>
  </conditionalFormatting>
  <conditionalFormatting sqref="E3103">
    <cfRule type="duplicateValues" dxfId="62" priority="154"/>
  </conditionalFormatting>
  <conditionalFormatting sqref="E3105">
    <cfRule type="duplicateValues" dxfId="61" priority="153"/>
  </conditionalFormatting>
  <conditionalFormatting sqref="E3107">
    <cfRule type="duplicateValues" dxfId="60" priority="152"/>
  </conditionalFormatting>
  <conditionalFormatting sqref="E3109">
    <cfRule type="duplicateValues" dxfId="59" priority="151"/>
  </conditionalFormatting>
  <conditionalFormatting sqref="E3111">
    <cfRule type="duplicateValues" dxfId="58" priority="149"/>
  </conditionalFormatting>
  <conditionalFormatting sqref="E3113">
    <cfRule type="duplicateValues" dxfId="57" priority="148"/>
  </conditionalFormatting>
  <conditionalFormatting sqref="E3115 E3117 E3119 E3121">
    <cfRule type="duplicateValues" dxfId="56" priority="146"/>
  </conditionalFormatting>
  <conditionalFormatting sqref="E3124">
    <cfRule type="duplicateValues" dxfId="55" priority="32"/>
  </conditionalFormatting>
  <conditionalFormatting sqref="E3126">
    <cfRule type="duplicateValues" dxfId="54" priority="145"/>
  </conditionalFormatting>
  <conditionalFormatting sqref="E3128">
    <cfRule type="duplicateValues" dxfId="53" priority="144"/>
  </conditionalFormatting>
  <conditionalFormatting sqref="E3130">
    <cfRule type="duplicateValues" dxfId="52" priority="143"/>
  </conditionalFormatting>
  <conditionalFormatting sqref="E3132">
    <cfRule type="duplicateValues" dxfId="51" priority="142"/>
  </conditionalFormatting>
  <conditionalFormatting sqref="E3134">
    <cfRule type="duplicateValues" dxfId="50" priority="141"/>
  </conditionalFormatting>
  <conditionalFormatting sqref="E3136">
    <cfRule type="duplicateValues" dxfId="49" priority="34"/>
  </conditionalFormatting>
  <conditionalFormatting sqref="E3138">
    <cfRule type="duplicateValues" dxfId="48" priority="140"/>
  </conditionalFormatting>
  <conditionalFormatting sqref="E3140">
    <cfRule type="duplicateValues" dxfId="47" priority="139"/>
  </conditionalFormatting>
  <conditionalFormatting sqref="E3142">
    <cfRule type="duplicateValues" dxfId="46" priority="138"/>
  </conditionalFormatting>
  <conditionalFormatting sqref="E3144:E3146">
    <cfRule type="duplicateValues" dxfId="45" priority="36"/>
  </conditionalFormatting>
  <conditionalFormatting sqref="E3514">
    <cfRule type="duplicateValues" dxfId="44" priority="121"/>
  </conditionalFormatting>
  <conditionalFormatting sqref="E3516:E3522">
    <cfRule type="duplicateValues" dxfId="43" priority="120"/>
  </conditionalFormatting>
  <conditionalFormatting sqref="E3524">
    <cfRule type="duplicateValues" dxfId="42" priority="119"/>
  </conditionalFormatting>
  <conditionalFormatting sqref="E3525:E3528">
    <cfRule type="duplicateValues" dxfId="41" priority="541"/>
  </conditionalFormatting>
  <conditionalFormatting sqref="E3530">
    <cfRule type="duplicateValues" dxfId="40" priority="114"/>
  </conditionalFormatting>
  <conditionalFormatting sqref="E3532">
    <cfRule type="duplicateValues" dxfId="39" priority="113"/>
  </conditionalFormatting>
  <conditionalFormatting sqref="E3534">
    <cfRule type="duplicateValues" dxfId="38" priority="112"/>
  </conditionalFormatting>
  <conditionalFormatting sqref="E3536">
    <cfRule type="duplicateValues" dxfId="37" priority="111"/>
  </conditionalFormatting>
  <conditionalFormatting sqref="E3538">
    <cfRule type="duplicateValues" dxfId="36" priority="109"/>
  </conditionalFormatting>
  <conditionalFormatting sqref="E3540">
    <cfRule type="duplicateValues" dxfId="35" priority="108"/>
  </conditionalFormatting>
  <conditionalFormatting sqref="E3542">
    <cfRule type="duplicateValues" dxfId="34" priority="107"/>
  </conditionalFormatting>
  <conditionalFormatting sqref="E3546 E3544">
    <cfRule type="duplicateValues" dxfId="33" priority="105"/>
  </conditionalFormatting>
  <conditionalFormatting sqref="E3548">
    <cfRule type="duplicateValues" dxfId="32" priority="60"/>
  </conditionalFormatting>
  <conditionalFormatting sqref="G1363">
    <cfRule type="duplicateValues" dxfId="31" priority="53"/>
  </conditionalFormatting>
  <conditionalFormatting sqref="G1365">
    <cfRule type="duplicateValues" dxfId="30" priority="51"/>
  </conditionalFormatting>
  <conditionalFormatting sqref="G1601">
    <cfRule type="duplicateValues" dxfId="29" priority="45"/>
  </conditionalFormatting>
  <conditionalFormatting sqref="G1609">
    <cfRule type="duplicateValues" dxfId="28" priority="25"/>
  </conditionalFormatting>
  <conditionalFormatting sqref="G2169:G2283 G2285:G2340 G2344 G2342 G2346">
    <cfRule type="duplicateValues" dxfId="27" priority="202"/>
  </conditionalFormatting>
  <conditionalFormatting sqref="G2385">
    <cfRule type="duplicateValues" dxfId="26" priority="41"/>
  </conditionalFormatting>
  <conditionalFormatting sqref="G2387">
    <cfRule type="duplicateValues" dxfId="25" priority="40"/>
  </conditionalFormatting>
  <conditionalFormatting sqref="G2969:G3033 G3035:G3060">
    <cfRule type="duplicateValues" dxfId="24" priority="197"/>
  </conditionalFormatting>
  <conditionalFormatting sqref="G3070:G3082 G3063:G3068">
    <cfRule type="duplicateValues" dxfId="23" priority="527"/>
  </conditionalFormatting>
  <conditionalFormatting sqref="G3084:G3115 G3117 G3119 G3121">
    <cfRule type="duplicateValues" dxfId="22" priority="198"/>
  </conditionalFormatting>
  <conditionalFormatting sqref="G3293 G3188:G3291 G3295 G3297 G3299 G3301:G3305">
    <cfRule type="duplicateValues" dxfId="21" priority="203"/>
  </conditionalFormatting>
  <conditionalFormatting sqref="G3437:G3495">
    <cfRule type="duplicateValues" dxfId="20" priority="196"/>
  </conditionalFormatting>
  <conditionalFormatting sqref="G3517:G3520">
    <cfRule type="duplicateValues" dxfId="19" priority="7"/>
  </conditionalFormatting>
  <conditionalFormatting sqref="G3521:G3522">
    <cfRule type="duplicateValues" dxfId="18" priority="6"/>
  </conditionalFormatting>
  <conditionalFormatting sqref="G3525:G3526">
    <cfRule type="duplicateValues" dxfId="17" priority="5"/>
  </conditionalFormatting>
  <conditionalFormatting sqref="G3527:G3528">
    <cfRule type="duplicateValues" dxfId="16" priority="3"/>
  </conditionalFormatting>
  <conditionalFormatting sqref="G3529:G3546 G3523:G3524 G3513:G3516">
    <cfRule type="duplicateValues" dxfId="15" priority="544"/>
  </conditionalFormatting>
  <conditionalFormatting sqref="G3548">
    <cfRule type="duplicateValues" dxfId="14" priority="61"/>
  </conditionalFormatting>
  <conditionalFormatting sqref="G3550:G3570">
    <cfRule type="duplicateValues" dxfId="13" priority="195"/>
  </conditionalFormatting>
  <conditionalFormatting sqref="G4025:G4118">
    <cfRule type="duplicateValues" dxfId="12" priority="199"/>
  </conditionalFormatting>
  <conditionalFormatting sqref="G4599:G4601">
    <cfRule type="duplicateValues" dxfId="11" priority="2"/>
  </conditionalFormatting>
  <conditionalFormatting sqref="G4609:G4611">
    <cfRule type="duplicateValues" dxfId="10" priority="1"/>
  </conditionalFormatting>
  <conditionalFormatting sqref="G4642:G4646 G4591:G4598 G4602:G4608 G4612:G4640">
    <cfRule type="duplicateValues" dxfId="9" priority="545"/>
  </conditionalFormatting>
  <conditionalFormatting sqref="G5059">
    <cfRule type="duplicateValues" dxfId="8" priority="30"/>
  </conditionalFormatting>
  <conditionalFormatting sqref="G5063">
    <cfRule type="duplicateValues" dxfId="7" priority="56"/>
  </conditionalFormatting>
  <conditionalFormatting sqref="G5069">
    <cfRule type="duplicateValues" dxfId="6" priority="55"/>
  </conditionalFormatting>
  <conditionalFormatting sqref="G5079">
    <cfRule type="duplicateValues" dxfId="5" priority="54"/>
  </conditionalFormatting>
  <conditionalFormatting sqref="G5291">
    <cfRule type="duplicateValues" dxfId="4" priority="59"/>
  </conditionalFormatting>
  <conditionalFormatting sqref="G5293">
    <cfRule type="duplicateValues" dxfId="3" priority="58"/>
  </conditionalFormatting>
  <conditionalFormatting sqref="G5295">
    <cfRule type="duplicateValues" dxfId="2" priority="57"/>
  </conditionalFormatting>
  <conditionalFormatting sqref="G5307">
    <cfRule type="duplicateValues" dxfId="1" priority="28"/>
  </conditionalFormatting>
  <conditionalFormatting sqref="G5309">
    <cfRule type="duplicateValues" dxfId="0" priority="27"/>
  </conditionalFormatting>
  <conditionalFormatting sqref="P558:P578 P544:P556 P582:P603">
    <cfRule type="colorScale" priority="47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P579:P581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P607:P613">
    <cfRule type="colorScale" priority="44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P615:P619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P622:P631">
    <cfRule type="colorScale" priority="29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P659:P672 P635:P656">
    <cfRule type="colorScale" priority="35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P1107:P1123 P1069:P1100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G328" r:id="rId1" tooltip="Exibir Composição Analítica" display="https://app.orcafascio.com/orc/orcamentos/67ac9e51ac016a5415a11def/composicoes/678544c542cbab0a7b5dd81d"/>
    <hyperlink ref="G351" r:id="rId2" tooltip="Exibir Composição Analítica" display="https://app.orcafascio.com/orc/orcamentos/67ac9e51ac016a5415a11def/composicoes/678544d442cbab0a7b5dd821"/>
    <hyperlink ref="G401" r:id="rId3" tooltip="Exibir Composição Analítica" display="https://app.orcafascio.com/orc/orcamentos/67ac9e51ac016a5415a11def/composicoes/678544e842cbab0a785dd815"/>
    <hyperlink ref="G404" r:id="rId4" tooltip="Exibir Composição Analítica" display="https://app.orcafascio.com/orc/orcamentos/67ac9e51ac016a5415a11def/composicoes/678566e442cbab23ee5dde62"/>
    <hyperlink ref="G1853" r:id="rId5" tooltip="Exibir Composição Analítica" display="https://app.orcafascio.com/orc/orcamentos/67ac9e51ac016a5415a11def/composicoes/678544c542cbab0a7b5dd81d"/>
    <hyperlink ref="G1869" r:id="rId6" tooltip="Exibir Composição Analítica" display="https://app.orcafascio.com/orc/orcamentos/67ac9e51ac016a5415a11def/composicoes/678544d442cbab0a7b5dd821"/>
    <hyperlink ref="G1916" r:id="rId7" tooltip="Exibir Composição Analítica" display="https://app.orcafascio.com/orc/orcamentos/67ac9e51ac016a5415a11def/composicoes/678544e842cbab0a785dd815"/>
    <hyperlink ref="G2772" r:id="rId8" tooltip="Exibir Composição Analítica" display="https://app.orcafascio.com/orc/orcamentos/67ac9e51ac016a5415a11def/composicoes/678544c542cbab0a7b5dd81d"/>
    <hyperlink ref="G2781" r:id="rId9" tooltip="Exibir Composição Analítica" display="https://app.orcafascio.com/orc/orcamentos/67ac9e51ac016a5415a11def/composicoes/678544d442cbab0a7b5dd821"/>
    <hyperlink ref="G3385" r:id="rId10" tooltip="Exibir Composição Analítica" display="https://app.orcafascio.com/orc/orcamentos/67ac9e51ac016a5415a11def/composicoes/678544c542cbab0a7b5dd81d"/>
    <hyperlink ref="G3394" r:id="rId11" tooltip="Exibir Composição Analítica" display="https://app.orcafascio.com/orc/orcamentos/67ac9e51ac016a5415a11def/composicoes/678544d442cbab0a7b5dd821"/>
    <hyperlink ref="G3843" r:id="rId12" tooltip="Exibir Composição Analítica" display="https://app.orcafascio.com/orc/orcamentos/67ac9e51ac016a5415a11def/composicoes/678544c542cbab0a7b5dd81d"/>
    <hyperlink ref="G3852" r:id="rId13" tooltip="Exibir Composição Analítica" display="https://app.orcafascio.com/orc/orcamentos/67ac9e51ac016a5415a11def/composicoes/678544d442cbab0a7b5dd821"/>
    <hyperlink ref="G1492" r:id="rId14" tooltip="Exibir Composição Analítica" display="https://app.orcafascio.com/orc/orcamentos/67ac9e51ac016a5415a11def/composicoes/67855ca042cbab0a7b5df1ef"/>
    <hyperlink ref="G1498" r:id="rId15" tooltip="Exibir Composição Analítica" display="https://app.orcafascio.com/orc/orcamentos/67a5f9b6a989cce962bd0561/composicoes/6716ad26d023aa061722b6bb"/>
    <hyperlink ref="G1500" r:id="rId16" tooltip="Exibir Composição Analítica" display="https://app.orcafascio.com/orc/orcamentos/67a5f9b6a989cce962bd0561/composicoes/6716ad13d023aa061922ae29"/>
    <hyperlink ref="G2493" r:id="rId17" tooltip="Exibir Composição Analítica" display="https://app.orcafascio.com/orc/orcamentos/67ac9e51ac016a5415a11def/composicoes/67855c8b42cbab0a785dedcc"/>
    <hyperlink ref="G2497" r:id="rId18" tooltip="Exibir Composição Analítica" display="https://app.orcafascio.com/orc/orcamentos/67ac9e51ac016a5415a11def/composicoes/67855ca042cbab0a7b5df1ef"/>
    <hyperlink ref="G2503" r:id="rId19" tooltip="Exibir Composição Analítica" display="https://app.orcafascio.com/orc/orcamentos/67a5f9b6a989cce962bd0561/composicoes/6716ad26d023aa061722b6bb"/>
    <hyperlink ref="G2505" r:id="rId20" tooltip="Exibir Composição Analítica" display="https://app.orcafascio.com/orc/orcamentos/67a5f9b6a989cce962bd0561/composicoes/6716ad13d023aa061922ae29"/>
    <hyperlink ref="G3175" r:id="rId21" tooltip="Exibir Composição Analítica" display="https://app.orcafascio.com/orc/orcamentos/67ac9e51ac016a5415a11def/composicoes/67855ca042cbab0a7b5df1ef"/>
    <hyperlink ref="G3183" r:id="rId22" tooltip="Exibir Composição Analítica" display="https://app.orcafascio.com/orc/orcamentos/67a5f9b6a989cce962bd0561/composicoes/6716ad26d023aa061722b6bb"/>
    <hyperlink ref="G3185" r:id="rId23" tooltip="Exibir Composição Analítica" display="https://app.orcafascio.com/orc/orcamentos/67a5f9b6a989cce962bd0561/composicoes/6716ad13d023aa061922ae29"/>
    <hyperlink ref="G4228" r:id="rId24" tooltip="Exibir Composição Analítica" display="https://app.orcafascio.com/orc/orcamentos/67ac9e51ac016a5415a11def/composicoes/67855ca042cbab0a7b5df1ef"/>
    <hyperlink ref="G4232" r:id="rId25" tooltip="Exibir Composição Analítica" display="https://app.orcafascio.com/orc/orcamentos/67a5f9b6a989cce962bd0561/composicoes/6716ad26d023aa061722b6bb"/>
    <hyperlink ref="G4234" r:id="rId26" tooltip="Exibir Composição Analítica" display="https://app.orcafascio.com/orc/orcamentos/67a5f9b6a989cce962bd0561/composicoes/6716ad13d023aa061922ae29"/>
    <hyperlink ref="G4230" r:id="rId27" tooltip="Exibir Composição Analítica" display="https://app.orcafascio.com/orc/orcamentos/67a5f9b6a989cce962bd0561/composicoes/6716accbd023aa061922ae13"/>
    <hyperlink ref="G4415" r:id="rId28" tooltip="Exibir Composição Analítica" display="https://app.orcafascio.com/orc/orcamentos/67ac9e51ac016a5415a11def/composicoes/678544d442cbab0a7b5dd821"/>
    <hyperlink ref="G4745" r:id="rId29" tooltip="Exibir Composição Analítica" display="https://app.orcafascio.com/orc/orcamentos/67ac9e51ac016a5415a11def/composicoes/67855ca042cbab0a7b5df1ef"/>
    <hyperlink ref="G4753" r:id="rId30" tooltip="Exibir Composição Analítica" display="https://app.orcafascio.com/orc/orcamentos/67a5f9b6a989cce962bd0561/composicoes/6716ad26d023aa061722b6bb"/>
    <hyperlink ref="G4755" r:id="rId31" tooltip="Exibir Composição Analítica" display="https://app.orcafascio.com/orc/orcamentos/67a5f9b6a989cce962bd0561/composicoes/6716ad13d023aa061922ae29"/>
    <hyperlink ref="G1612" r:id="rId32" tooltip="Exibir Composição Analítica" display="https://app.orcafascio.com/v2023/orc/orcamentos/67b8a42b745f27319597cf22/compositions/9291ec43-9108-4118-a189-0d88f7d0a2e5?id_focus=d2434ecf-ac37-4920-a4ca-0b3d5379f53d"/>
    <hyperlink ref="G1614" r:id="rId33" tooltip="Exibir Composição Analítica" display="https://app.orcafascio.com/v2023/orc/orcamentos/67b8a42b745f27319597cf22/compositions/afb8c4ef-332a-4ff5-9453-8a38e99e1e87?id_focus=895dd9c4-ca68-4548-bb23-8b93d1673cf8"/>
    <hyperlink ref="G1616" r:id="rId34" tooltip="Exibir Composição Analítica" display="https://app.orcafascio.com/v2023/orc/orcamentos/67b8a42b745f27319597cf22/compositions/bb1ad19f-ff50-490c-ab73-3e51f5d377e2?id_focus=478bb968-f4a1-424f-bfe5-c778560a4434"/>
    <hyperlink ref="G1618" r:id="rId35" tooltip="Exibir Composição Analítica" display="https://app.orcafascio.com/v2023/orc/orcamentos/67b8a42b745f27319597cf22/compositions/ffd6cc7d-3df0-4c3c-beef-82ea6b564759?id_focus=037ed842-d391-42b5-91e2-149ebef7c121"/>
    <hyperlink ref="G1620" r:id="rId36" tooltip="Exibir Composição Analítica" display="https://app.orcafascio.com/v2023/orc/orcamentos/67b8a42b745f27319597cf22/compositions/adfc9829-cbb4-40a7-a16e-a058e32640ef?id_focus=3d68916d-0ebb-4414-9da9-336d54499406"/>
    <hyperlink ref="G1622" r:id="rId37" tooltip="Exibir Composição Analítica" display="https://app.orcafascio.com/v2023/orc/orcamentos/67b8a42b745f27319597cf22/compositions/c5a0ae3a-f157-48db-a9fd-d6924cdb240b?id_focus=2a4a8a05-ef4f-4569-8bfd-4780c7261a86"/>
    <hyperlink ref="G1624" r:id="rId38" tooltip="Exibir Composição Analítica" display="https://app.orcafascio.com/v2023/orc/orcamentos/67b8a42b745f27319597cf22/compositions/b5da34b9-c951-4fe0-a2a3-ef11ef7a0fa7?id_focus=6005f9c6-cd24-4c00-a12c-2d8ea907c352"/>
    <hyperlink ref="G1626" r:id="rId39" tooltip="Exibir Composição Analítica" display="https://app.orcafascio.com/v2023/orc/orcamentos/67b8a42b745f27319597cf22/compositions/ac44e7cf-05eb-434f-b835-df139e17ac84?id_focus=428b82b7-df4d-4ce2-8f53-fcf1e4ed86a3"/>
    <hyperlink ref="G1628" r:id="rId40" tooltip="Exibir Composição Analítica" display="https://app.orcafascio.com/v2023/orc/orcamentos/67b8a42b745f27319597cf22/compositions/2c918509-7e9e-4818-a897-ef35ce7cc64e?id_focus=17c616c1-ca15-475e-974c-ea37a8dacc19"/>
    <hyperlink ref="G1630" r:id="rId41" tooltip="Exibir Composição Analítica" display="https://app.orcafascio.com/v2023/orc/orcamentos/67b8a42b745f27319597cf22/compositions/7e0726d7-0902-4873-b0f5-87afe7e0cc80?id_focus=e0715549-ccc4-4dd8-b0dd-6f4603b05e75"/>
    <hyperlink ref="G1632" r:id="rId42" tooltip="Exibir Composição Analítica" display="https://app.orcafascio.com/v2023/orc/orcamentos/67b8a42b745f27319597cf22/compositions/794143f1-5cda-4724-b4e3-6b19b8dfd829?id_focus=a2e222ba-5d3b-4917-abd8-1d51e5215089"/>
    <hyperlink ref="G1634" r:id="rId43" tooltip="Exibir Composição Analítica" display="https://app.orcafascio.com/v2023/orc/orcamentos/67b8a42b745f27319597cf22/compositions/38fb425c-a3d6-4e93-ae05-809076aa91b0?id_focus=89bc4321-74ef-4166-a8a0-76ac450cb4af"/>
    <hyperlink ref="G1636" r:id="rId44" tooltip="Exibir Composição Analítica" display="https://app.orcafascio.com/v2023/orc/orcamentos/67b8a42b745f27319597cf22/compositions/69505d67-b1bb-45f0-9480-36ce230500c7?id_focus=386ebfcb-2782-4ba8-b45b-62d843473f33"/>
    <hyperlink ref="G1638" r:id="rId45" tooltip="Exibir Composição Analítica" display="https://app.orcafascio.com/v2023/orc/orcamentos/67b8a42b745f27319597cf22/compositions/42554f74-8e1c-4d89-a18c-f16d4e9484bc?id_focus=ce58762d-990f-4627-80e8-038fffa7e2d3"/>
    <hyperlink ref="G1640" r:id="rId46" tooltip="Exibir Composição Analítica" display="https://app.orcafascio.com/v2023/orc/orcamentos/67b8a42b745f27319597cf22/compositions/a4544508-d642-40a4-8137-59552e5530af?id_focus=af3b4b07-c13a-4661-a4f0-035bc9620a20"/>
    <hyperlink ref="G1206" r:id="rId47" tooltip="Exibir Composição Analítica" display="https://app.orcafascio.com/v2023/orc/orcamentos/67b8aed4ac016a09dc662ebb/compositions/aa433b70-1472-41ee-9233-bed5f8508ace?id_focus=0e7f700b-1767-467e-a1b0-f72639d5523e"/>
    <hyperlink ref="G1208" r:id="rId48" tooltip="Exibir Composição Analítica" display="https://app.orcafascio.com/v2023/orc/orcamentos/67b8aed4ac016a09dc662ebb/compositions/8a09e09d-b91e-430e-ac29-d004365705c2?id_focus=33eb392f-2016-43cd-9fc7-30f4dadd2735"/>
    <hyperlink ref="G1210" r:id="rId49" tooltip="Exibir Composição Analítica" display="https://app.orcafascio.com/v2023/orc/orcamentos/67b8aed4ac016a09dc662ebb/compositions/a439ed35-ccc7-4cde-aaf0-7907c14dc329?id_focus=011dd8bc-2279-48e0-86dd-9d115f8d56b7"/>
    <hyperlink ref="G1212" r:id="rId50" tooltip="Exibir Composição Analítica" display="https://app.orcafascio.com/v2023/orc/orcamentos/67b8aed4ac016a09dc662ebb/compositions/3957039a-8c75-46ae-96de-fa91a0aebe5b?id_focus=e432b2a2-bddb-4633-a75e-f724648e4566"/>
    <hyperlink ref="G1214" r:id="rId51" tooltip="Exibir Composição Analítica" display="https://app.orcafascio.com/v2023/orc/orcamentos/67b8aed4ac016a09dc662ebb/compositions/7936ff11-0db7-4189-8582-82e609bb8663?id_focus=63e40aef-ba78-4da6-a118-9ee02a2fdcb6"/>
    <hyperlink ref="G1216" r:id="rId52" tooltip="Exibir Composição Analítica" display="https://app.orcafascio.com/v2023/orc/orcamentos/67b8aed4ac016a09dc662ebb/compositions/661a1b8d-a597-4b8f-a109-13b3485def9f?id_focus=c319de50-3b97-406f-b300-d9db17cbecae"/>
    <hyperlink ref="G1218" r:id="rId53" tooltip="Exibir Composição Analítica" display="https://app.orcafascio.com/v2023/orc/orcamentos/67b8aed4ac016a09dc662ebb/compositions/e7c0ffd3-ec76-4a61-9b42-09597146c558?id_focus=4d620725-80bd-4254-a2dc-b84949d8212d"/>
  </hyperlinks>
  <printOptions horizontalCentered="1"/>
  <pageMargins left="0.51180555555555596" right="0.51180555555555596" top="0.78749999999999998" bottom="0.70833333333333304" header="0.511811023622047" footer="0.23611111111111099"/>
  <pageSetup paperSize="9" scale="43" fitToHeight="150" orientation="portrait" horizontalDpi="300" verticalDpi="300" r:id="rId54"/>
  <headerFooter>
    <oddFooter>&amp;R&amp;P/&amp;N</oddFooter>
  </headerFooter>
  <rowBreaks count="1" manualBreakCount="1">
    <brk id="84" max="16383" man="1"/>
  </rowBreaks>
  <drawing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21"/>
  <sheetViews>
    <sheetView view="pageBreakPreview" zoomScale="60" zoomScaleNormal="50" workbookViewId="0">
      <selection sqref="A1:N320"/>
    </sheetView>
  </sheetViews>
  <sheetFormatPr defaultColWidth="8.75" defaultRowHeight="15.75"/>
  <cols>
    <col min="1" max="1" width="6" style="75" customWidth="1"/>
    <col min="2" max="2" width="72.25" style="75" customWidth="1"/>
    <col min="3" max="3" width="23.25" style="76" customWidth="1"/>
    <col min="4" max="4" width="20.125" style="75" customWidth="1"/>
    <col min="5" max="5" width="21" style="75" customWidth="1"/>
    <col min="6" max="6" width="20.5" style="75" customWidth="1"/>
    <col min="7" max="7" width="21.25" style="75" customWidth="1"/>
    <col min="8" max="9" width="21" style="75" customWidth="1"/>
    <col min="10" max="11" width="21.25" style="75" customWidth="1"/>
    <col min="12" max="14" width="21" style="75" customWidth="1"/>
    <col min="15" max="15" width="17.625" style="205" customWidth="1"/>
    <col min="16" max="16" width="9.75" style="205" customWidth="1"/>
    <col min="17" max="17" width="8.75" style="205"/>
    <col min="18" max="254" width="8.75" style="77"/>
    <col min="255" max="255" width="50" style="77" customWidth="1"/>
    <col min="256" max="256" width="16.125" style="77" customWidth="1"/>
    <col min="257" max="257" width="15.25" style="77" customWidth="1"/>
    <col min="258" max="258" width="13.75" style="77" customWidth="1"/>
    <col min="259" max="261" width="14.25" style="77" customWidth="1"/>
    <col min="262" max="269" width="15.125" style="77" customWidth="1"/>
    <col min="270" max="270" width="16" style="77" customWidth="1"/>
    <col min="271" max="510" width="8.75" style="77"/>
    <col min="511" max="511" width="50" style="77" customWidth="1"/>
    <col min="512" max="512" width="16.125" style="77" customWidth="1"/>
    <col min="513" max="513" width="15.25" style="77" customWidth="1"/>
    <col min="514" max="514" width="13.75" style="77" customWidth="1"/>
    <col min="515" max="517" width="14.25" style="77" customWidth="1"/>
    <col min="518" max="525" width="15.125" style="77" customWidth="1"/>
    <col min="526" max="526" width="16" style="77" customWidth="1"/>
    <col min="527" max="766" width="8.75" style="77"/>
    <col min="767" max="767" width="50" style="77" customWidth="1"/>
    <col min="768" max="768" width="16.125" style="77" customWidth="1"/>
    <col min="769" max="769" width="15.25" style="77" customWidth="1"/>
    <col min="770" max="770" width="13.75" style="77" customWidth="1"/>
    <col min="771" max="773" width="14.25" style="77" customWidth="1"/>
    <col min="774" max="781" width="15.125" style="77" customWidth="1"/>
    <col min="782" max="782" width="16" style="77" customWidth="1"/>
    <col min="783" max="1022" width="8.75" style="77"/>
    <col min="1023" max="1023" width="50" style="77" customWidth="1"/>
    <col min="1024" max="1024" width="16.125" style="77" customWidth="1"/>
    <col min="1025" max="1025" width="15.25" style="77" customWidth="1"/>
    <col min="1026" max="1026" width="13.75" style="77" customWidth="1"/>
    <col min="1027" max="1029" width="14.25" style="77" customWidth="1"/>
    <col min="1030" max="1037" width="15.125" style="77" customWidth="1"/>
    <col min="1038" max="1038" width="16" style="77" customWidth="1"/>
    <col min="1039" max="1278" width="8.75" style="77"/>
    <col min="1279" max="1279" width="50" style="77" customWidth="1"/>
    <col min="1280" max="1280" width="16.125" style="77" customWidth="1"/>
    <col min="1281" max="1281" width="15.25" style="77" customWidth="1"/>
    <col min="1282" max="1282" width="13.75" style="77" customWidth="1"/>
    <col min="1283" max="1285" width="14.25" style="77" customWidth="1"/>
    <col min="1286" max="1293" width="15.125" style="77" customWidth="1"/>
    <col min="1294" max="1294" width="16" style="77" customWidth="1"/>
    <col min="1295" max="1534" width="8.75" style="77"/>
    <col min="1535" max="1535" width="50" style="77" customWidth="1"/>
    <col min="1536" max="1536" width="16.125" style="77" customWidth="1"/>
    <col min="1537" max="1537" width="15.25" style="77" customWidth="1"/>
    <col min="1538" max="1538" width="13.75" style="77" customWidth="1"/>
    <col min="1539" max="1541" width="14.25" style="77" customWidth="1"/>
    <col min="1542" max="1549" width="15.125" style="77" customWidth="1"/>
    <col min="1550" max="1550" width="16" style="77" customWidth="1"/>
    <col min="1551" max="1790" width="8.75" style="77"/>
    <col min="1791" max="1791" width="50" style="77" customWidth="1"/>
    <col min="1792" max="1792" width="16.125" style="77" customWidth="1"/>
    <col min="1793" max="1793" width="15.25" style="77" customWidth="1"/>
    <col min="1794" max="1794" width="13.75" style="77" customWidth="1"/>
    <col min="1795" max="1797" width="14.25" style="77" customWidth="1"/>
    <col min="1798" max="1805" width="15.125" style="77" customWidth="1"/>
    <col min="1806" max="1806" width="16" style="77" customWidth="1"/>
    <col min="1807" max="2046" width="8.75" style="77"/>
    <col min="2047" max="2047" width="50" style="77" customWidth="1"/>
    <col min="2048" max="2048" width="16.125" style="77" customWidth="1"/>
    <col min="2049" max="2049" width="15.25" style="77" customWidth="1"/>
    <col min="2050" max="2050" width="13.75" style="77" customWidth="1"/>
    <col min="2051" max="2053" width="14.25" style="77" customWidth="1"/>
    <col min="2054" max="2061" width="15.125" style="77" customWidth="1"/>
    <col min="2062" max="2062" width="16" style="77" customWidth="1"/>
    <col min="2063" max="2302" width="8.75" style="77"/>
    <col min="2303" max="2303" width="50" style="77" customWidth="1"/>
    <col min="2304" max="2304" width="16.125" style="77" customWidth="1"/>
    <col min="2305" max="2305" width="15.25" style="77" customWidth="1"/>
    <col min="2306" max="2306" width="13.75" style="77" customWidth="1"/>
    <col min="2307" max="2309" width="14.25" style="77" customWidth="1"/>
    <col min="2310" max="2317" width="15.125" style="77" customWidth="1"/>
    <col min="2318" max="2318" width="16" style="77" customWidth="1"/>
    <col min="2319" max="2558" width="8.75" style="77"/>
    <col min="2559" max="2559" width="50" style="77" customWidth="1"/>
    <col min="2560" max="2560" width="16.125" style="77" customWidth="1"/>
    <col min="2561" max="2561" width="15.25" style="77" customWidth="1"/>
    <col min="2562" max="2562" width="13.75" style="77" customWidth="1"/>
    <col min="2563" max="2565" width="14.25" style="77" customWidth="1"/>
    <col min="2566" max="2573" width="15.125" style="77" customWidth="1"/>
    <col min="2574" max="2574" width="16" style="77" customWidth="1"/>
    <col min="2575" max="2814" width="8.75" style="77"/>
    <col min="2815" max="2815" width="50" style="77" customWidth="1"/>
    <col min="2816" max="2816" width="16.125" style="77" customWidth="1"/>
    <col min="2817" max="2817" width="15.25" style="77" customWidth="1"/>
    <col min="2818" max="2818" width="13.75" style="77" customWidth="1"/>
    <col min="2819" max="2821" width="14.25" style="77" customWidth="1"/>
    <col min="2822" max="2829" width="15.125" style="77" customWidth="1"/>
    <col min="2830" max="2830" width="16" style="77" customWidth="1"/>
    <col min="2831" max="3070" width="8.75" style="77"/>
    <col min="3071" max="3071" width="50" style="77" customWidth="1"/>
    <col min="3072" max="3072" width="16.125" style="77" customWidth="1"/>
    <col min="3073" max="3073" width="15.25" style="77" customWidth="1"/>
    <col min="3074" max="3074" width="13.75" style="77" customWidth="1"/>
    <col min="3075" max="3077" width="14.25" style="77" customWidth="1"/>
    <col min="3078" max="3085" width="15.125" style="77" customWidth="1"/>
    <col min="3086" max="3086" width="16" style="77" customWidth="1"/>
    <col min="3087" max="3326" width="8.75" style="77"/>
    <col min="3327" max="3327" width="50" style="77" customWidth="1"/>
    <col min="3328" max="3328" width="16.125" style="77" customWidth="1"/>
    <col min="3329" max="3329" width="15.25" style="77" customWidth="1"/>
    <col min="3330" max="3330" width="13.75" style="77" customWidth="1"/>
    <col min="3331" max="3333" width="14.25" style="77" customWidth="1"/>
    <col min="3334" max="3341" width="15.125" style="77" customWidth="1"/>
    <col min="3342" max="3342" width="16" style="77" customWidth="1"/>
    <col min="3343" max="3582" width="8.75" style="77"/>
    <col min="3583" max="3583" width="50" style="77" customWidth="1"/>
    <col min="3584" max="3584" width="16.125" style="77" customWidth="1"/>
    <col min="3585" max="3585" width="15.25" style="77" customWidth="1"/>
    <col min="3586" max="3586" width="13.75" style="77" customWidth="1"/>
    <col min="3587" max="3589" width="14.25" style="77" customWidth="1"/>
    <col min="3590" max="3597" width="15.125" style="77" customWidth="1"/>
    <col min="3598" max="3598" width="16" style="77" customWidth="1"/>
    <col min="3599" max="3838" width="8.75" style="77"/>
    <col min="3839" max="3839" width="50" style="77" customWidth="1"/>
    <col min="3840" max="3840" width="16.125" style="77" customWidth="1"/>
    <col min="3841" max="3841" width="15.25" style="77" customWidth="1"/>
    <col min="3842" max="3842" width="13.75" style="77" customWidth="1"/>
    <col min="3843" max="3845" width="14.25" style="77" customWidth="1"/>
    <col min="3846" max="3853" width="15.125" style="77" customWidth="1"/>
    <col min="3854" max="3854" width="16" style="77" customWidth="1"/>
    <col min="3855" max="4094" width="8.75" style="77"/>
    <col min="4095" max="4095" width="50" style="77" customWidth="1"/>
    <col min="4096" max="4096" width="16.125" style="77" customWidth="1"/>
    <col min="4097" max="4097" width="15.25" style="77" customWidth="1"/>
    <col min="4098" max="4098" width="13.75" style="77" customWidth="1"/>
    <col min="4099" max="4101" width="14.25" style="77" customWidth="1"/>
    <col min="4102" max="4109" width="15.125" style="77" customWidth="1"/>
    <col min="4110" max="4110" width="16" style="77" customWidth="1"/>
    <col min="4111" max="4350" width="8.75" style="77"/>
    <col min="4351" max="4351" width="50" style="77" customWidth="1"/>
    <col min="4352" max="4352" width="16.125" style="77" customWidth="1"/>
    <col min="4353" max="4353" width="15.25" style="77" customWidth="1"/>
    <col min="4354" max="4354" width="13.75" style="77" customWidth="1"/>
    <col min="4355" max="4357" width="14.25" style="77" customWidth="1"/>
    <col min="4358" max="4365" width="15.125" style="77" customWidth="1"/>
    <col min="4366" max="4366" width="16" style="77" customWidth="1"/>
    <col min="4367" max="4606" width="8.75" style="77"/>
    <col min="4607" max="4607" width="50" style="77" customWidth="1"/>
    <col min="4608" max="4608" width="16.125" style="77" customWidth="1"/>
    <col min="4609" max="4609" width="15.25" style="77" customWidth="1"/>
    <col min="4610" max="4610" width="13.75" style="77" customWidth="1"/>
    <col min="4611" max="4613" width="14.25" style="77" customWidth="1"/>
    <col min="4614" max="4621" width="15.125" style="77" customWidth="1"/>
    <col min="4622" max="4622" width="16" style="77" customWidth="1"/>
    <col min="4623" max="4862" width="8.75" style="77"/>
    <col min="4863" max="4863" width="50" style="77" customWidth="1"/>
    <col min="4864" max="4864" width="16.125" style="77" customWidth="1"/>
    <col min="4865" max="4865" width="15.25" style="77" customWidth="1"/>
    <col min="4866" max="4866" width="13.75" style="77" customWidth="1"/>
    <col min="4867" max="4869" width="14.25" style="77" customWidth="1"/>
    <col min="4870" max="4877" width="15.125" style="77" customWidth="1"/>
    <col min="4878" max="4878" width="16" style="77" customWidth="1"/>
    <col min="4879" max="5118" width="8.75" style="77"/>
    <col min="5119" max="5119" width="50" style="77" customWidth="1"/>
    <col min="5120" max="5120" width="16.125" style="77" customWidth="1"/>
    <col min="5121" max="5121" width="15.25" style="77" customWidth="1"/>
    <col min="5122" max="5122" width="13.75" style="77" customWidth="1"/>
    <col min="5123" max="5125" width="14.25" style="77" customWidth="1"/>
    <col min="5126" max="5133" width="15.125" style="77" customWidth="1"/>
    <col min="5134" max="5134" width="16" style="77" customWidth="1"/>
    <col min="5135" max="5374" width="8.75" style="77"/>
    <col min="5375" max="5375" width="50" style="77" customWidth="1"/>
    <col min="5376" max="5376" width="16.125" style="77" customWidth="1"/>
    <col min="5377" max="5377" width="15.25" style="77" customWidth="1"/>
    <col min="5378" max="5378" width="13.75" style="77" customWidth="1"/>
    <col min="5379" max="5381" width="14.25" style="77" customWidth="1"/>
    <col min="5382" max="5389" width="15.125" style="77" customWidth="1"/>
    <col min="5390" max="5390" width="16" style="77" customWidth="1"/>
    <col min="5391" max="5630" width="8.75" style="77"/>
    <col min="5631" max="5631" width="50" style="77" customWidth="1"/>
    <col min="5632" max="5632" width="16.125" style="77" customWidth="1"/>
    <col min="5633" max="5633" width="15.25" style="77" customWidth="1"/>
    <col min="5634" max="5634" width="13.75" style="77" customWidth="1"/>
    <col min="5635" max="5637" width="14.25" style="77" customWidth="1"/>
    <col min="5638" max="5645" width="15.125" style="77" customWidth="1"/>
    <col min="5646" max="5646" width="16" style="77" customWidth="1"/>
    <col min="5647" max="5886" width="8.75" style="77"/>
    <col min="5887" max="5887" width="50" style="77" customWidth="1"/>
    <col min="5888" max="5888" width="16.125" style="77" customWidth="1"/>
    <col min="5889" max="5889" width="15.25" style="77" customWidth="1"/>
    <col min="5890" max="5890" width="13.75" style="77" customWidth="1"/>
    <col min="5891" max="5893" width="14.25" style="77" customWidth="1"/>
    <col min="5894" max="5901" width="15.125" style="77" customWidth="1"/>
    <col min="5902" max="5902" width="16" style="77" customWidth="1"/>
    <col min="5903" max="6142" width="8.75" style="77"/>
    <col min="6143" max="6143" width="50" style="77" customWidth="1"/>
    <col min="6144" max="6144" width="16.125" style="77" customWidth="1"/>
    <col min="6145" max="6145" width="15.25" style="77" customWidth="1"/>
    <col min="6146" max="6146" width="13.75" style="77" customWidth="1"/>
    <col min="6147" max="6149" width="14.25" style="77" customWidth="1"/>
    <col min="6150" max="6157" width="15.125" style="77" customWidth="1"/>
    <col min="6158" max="6158" width="16" style="77" customWidth="1"/>
    <col min="6159" max="6398" width="8.75" style="77"/>
    <col min="6399" max="6399" width="50" style="77" customWidth="1"/>
    <col min="6400" max="6400" width="16.125" style="77" customWidth="1"/>
    <col min="6401" max="6401" width="15.25" style="77" customWidth="1"/>
    <col min="6402" max="6402" width="13.75" style="77" customWidth="1"/>
    <col min="6403" max="6405" width="14.25" style="77" customWidth="1"/>
    <col min="6406" max="6413" width="15.125" style="77" customWidth="1"/>
    <col min="6414" max="6414" width="16" style="77" customWidth="1"/>
    <col min="6415" max="6654" width="8.75" style="77"/>
    <col min="6655" max="6655" width="50" style="77" customWidth="1"/>
    <col min="6656" max="6656" width="16.125" style="77" customWidth="1"/>
    <col min="6657" max="6657" width="15.25" style="77" customWidth="1"/>
    <col min="6658" max="6658" width="13.75" style="77" customWidth="1"/>
    <col min="6659" max="6661" width="14.25" style="77" customWidth="1"/>
    <col min="6662" max="6669" width="15.125" style="77" customWidth="1"/>
    <col min="6670" max="6670" width="16" style="77" customWidth="1"/>
    <col min="6671" max="6910" width="8.75" style="77"/>
    <col min="6911" max="6911" width="50" style="77" customWidth="1"/>
    <col min="6912" max="6912" width="16.125" style="77" customWidth="1"/>
    <col min="6913" max="6913" width="15.25" style="77" customWidth="1"/>
    <col min="6914" max="6914" width="13.75" style="77" customWidth="1"/>
    <col min="6915" max="6917" width="14.25" style="77" customWidth="1"/>
    <col min="6918" max="6925" width="15.125" style="77" customWidth="1"/>
    <col min="6926" max="6926" width="16" style="77" customWidth="1"/>
    <col min="6927" max="7166" width="8.75" style="77"/>
    <col min="7167" max="7167" width="50" style="77" customWidth="1"/>
    <col min="7168" max="7168" width="16.125" style="77" customWidth="1"/>
    <col min="7169" max="7169" width="15.25" style="77" customWidth="1"/>
    <col min="7170" max="7170" width="13.75" style="77" customWidth="1"/>
    <col min="7171" max="7173" width="14.25" style="77" customWidth="1"/>
    <col min="7174" max="7181" width="15.125" style="77" customWidth="1"/>
    <col min="7182" max="7182" width="16" style="77" customWidth="1"/>
    <col min="7183" max="7422" width="8.75" style="77"/>
    <col min="7423" max="7423" width="50" style="77" customWidth="1"/>
    <col min="7424" max="7424" width="16.125" style="77" customWidth="1"/>
    <col min="7425" max="7425" width="15.25" style="77" customWidth="1"/>
    <col min="7426" max="7426" width="13.75" style="77" customWidth="1"/>
    <col min="7427" max="7429" width="14.25" style="77" customWidth="1"/>
    <col min="7430" max="7437" width="15.125" style="77" customWidth="1"/>
    <col min="7438" max="7438" width="16" style="77" customWidth="1"/>
    <col min="7439" max="7678" width="8.75" style="77"/>
    <col min="7679" max="7679" width="50" style="77" customWidth="1"/>
    <col min="7680" max="7680" width="16.125" style="77" customWidth="1"/>
    <col min="7681" max="7681" width="15.25" style="77" customWidth="1"/>
    <col min="7682" max="7682" width="13.75" style="77" customWidth="1"/>
    <col min="7683" max="7685" width="14.25" style="77" customWidth="1"/>
    <col min="7686" max="7693" width="15.125" style="77" customWidth="1"/>
    <col min="7694" max="7694" width="16" style="77" customWidth="1"/>
    <col min="7695" max="7934" width="8.75" style="77"/>
    <col min="7935" max="7935" width="50" style="77" customWidth="1"/>
    <col min="7936" max="7936" width="16.125" style="77" customWidth="1"/>
    <col min="7937" max="7937" width="15.25" style="77" customWidth="1"/>
    <col min="7938" max="7938" width="13.75" style="77" customWidth="1"/>
    <col min="7939" max="7941" width="14.25" style="77" customWidth="1"/>
    <col min="7942" max="7949" width="15.125" style="77" customWidth="1"/>
    <col min="7950" max="7950" width="16" style="77" customWidth="1"/>
    <col min="7951" max="8190" width="8.75" style="77"/>
    <col min="8191" max="8191" width="50" style="77" customWidth="1"/>
    <col min="8192" max="8192" width="16.125" style="77" customWidth="1"/>
    <col min="8193" max="8193" width="15.25" style="77" customWidth="1"/>
    <col min="8194" max="8194" width="13.75" style="77" customWidth="1"/>
    <col min="8195" max="8197" width="14.25" style="77" customWidth="1"/>
    <col min="8198" max="8205" width="15.125" style="77" customWidth="1"/>
    <col min="8206" max="8206" width="16" style="77" customWidth="1"/>
    <col min="8207" max="8446" width="8.75" style="77"/>
    <col min="8447" max="8447" width="50" style="77" customWidth="1"/>
    <col min="8448" max="8448" width="16.125" style="77" customWidth="1"/>
    <col min="8449" max="8449" width="15.25" style="77" customWidth="1"/>
    <col min="8450" max="8450" width="13.75" style="77" customWidth="1"/>
    <col min="8451" max="8453" width="14.25" style="77" customWidth="1"/>
    <col min="8454" max="8461" width="15.125" style="77" customWidth="1"/>
    <col min="8462" max="8462" width="16" style="77" customWidth="1"/>
    <col min="8463" max="8702" width="8.75" style="77"/>
    <col min="8703" max="8703" width="50" style="77" customWidth="1"/>
    <col min="8704" max="8704" width="16.125" style="77" customWidth="1"/>
    <col min="8705" max="8705" width="15.25" style="77" customWidth="1"/>
    <col min="8706" max="8706" width="13.75" style="77" customWidth="1"/>
    <col min="8707" max="8709" width="14.25" style="77" customWidth="1"/>
    <col min="8710" max="8717" width="15.125" style="77" customWidth="1"/>
    <col min="8718" max="8718" width="16" style="77" customWidth="1"/>
    <col min="8719" max="8958" width="8.75" style="77"/>
    <col min="8959" max="8959" width="50" style="77" customWidth="1"/>
    <col min="8960" max="8960" width="16.125" style="77" customWidth="1"/>
    <col min="8961" max="8961" width="15.25" style="77" customWidth="1"/>
    <col min="8962" max="8962" width="13.75" style="77" customWidth="1"/>
    <col min="8963" max="8965" width="14.25" style="77" customWidth="1"/>
    <col min="8966" max="8973" width="15.125" style="77" customWidth="1"/>
    <col min="8974" max="8974" width="16" style="77" customWidth="1"/>
    <col min="8975" max="9214" width="8.75" style="77"/>
    <col min="9215" max="9215" width="50" style="77" customWidth="1"/>
    <col min="9216" max="9216" width="16.125" style="77" customWidth="1"/>
    <col min="9217" max="9217" width="15.25" style="77" customWidth="1"/>
    <col min="9218" max="9218" width="13.75" style="77" customWidth="1"/>
    <col min="9219" max="9221" width="14.25" style="77" customWidth="1"/>
    <col min="9222" max="9229" width="15.125" style="77" customWidth="1"/>
    <col min="9230" max="9230" width="16" style="77" customWidth="1"/>
    <col min="9231" max="9470" width="8.75" style="77"/>
    <col min="9471" max="9471" width="50" style="77" customWidth="1"/>
    <col min="9472" max="9472" width="16.125" style="77" customWidth="1"/>
    <col min="9473" max="9473" width="15.25" style="77" customWidth="1"/>
    <col min="9474" max="9474" width="13.75" style="77" customWidth="1"/>
    <col min="9475" max="9477" width="14.25" style="77" customWidth="1"/>
    <col min="9478" max="9485" width="15.125" style="77" customWidth="1"/>
    <col min="9486" max="9486" width="16" style="77" customWidth="1"/>
    <col min="9487" max="9726" width="8.75" style="77"/>
    <col min="9727" max="9727" width="50" style="77" customWidth="1"/>
    <col min="9728" max="9728" width="16.125" style="77" customWidth="1"/>
    <col min="9729" max="9729" width="15.25" style="77" customWidth="1"/>
    <col min="9730" max="9730" width="13.75" style="77" customWidth="1"/>
    <col min="9731" max="9733" width="14.25" style="77" customWidth="1"/>
    <col min="9734" max="9741" width="15.125" style="77" customWidth="1"/>
    <col min="9742" max="9742" width="16" style="77" customWidth="1"/>
    <col min="9743" max="9982" width="8.75" style="77"/>
    <col min="9983" max="9983" width="50" style="77" customWidth="1"/>
    <col min="9984" max="9984" width="16.125" style="77" customWidth="1"/>
    <col min="9985" max="9985" width="15.25" style="77" customWidth="1"/>
    <col min="9986" max="9986" width="13.75" style="77" customWidth="1"/>
    <col min="9987" max="9989" width="14.25" style="77" customWidth="1"/>
    <col min="9990" max="9997" width="15.125" style="77" customWidth="1"/>
    <col min="9998" max="9998" width="16" style="77" customWidth="1"/>
    <col min="9999" max="10238" width="8.75" style="77"/>
    <col min="10239" max="10239" width="50" style="77" customWidth="1"/>
    <col min="10240" max="10240" width="16.125" style="77" customWidth="1"/>
    <col min="10241" max="10241" width="15.25" style="77" customWidth="1"/>
    <col min="10242" max="10242" width="13.75" style="77" customWidth="1"/>
    <col min="10243" max="10245" width="14.25" style="77" customWidth="1"/>
    <col min="10246" max="10253" width="15.125" style="77" customWidth="1"/>
    <col min="10254" max="10254" width="16" style="77" customWidth="1"/>
    <col min="10255" max="10494" width="8.75" style="77"/>
    <col min="10495" max="10495" width="50" style="77" customWidth="1"/>
    <col min="10496" max="10496" width="16.125" style="77" customWidth="1"/>
    <col min="10497" max="10497" width="15.25" style="77" customWidth="1"/>
    <col min="10498" max="10498" width="13.75" style="77" customWidth="1"/>
    <col min="10499" max="10501" width="14.25" style="77" customWidth="1"/>
    <col min="10502" max="10509" width="15.125" style="77" customWidth="1"/>
    <col min="10510" max="10510" width="16" style="77" customWidth="1"/>
    <col min="10511" max="10750" width="8.75" style="77"/>
    <col min="10751" max="10751" width="50" style="77" customWidth="1"/>
    <col min="10752" max="10752" width="16.125" style="77" customWidth="1"/>
    <col min="10753" max="10753" width="15.25" style="77" customWidth="1"/>
    <col min="10754" max="10754" width="13.75" style="77" customWidth="1"/>
    <col min="10755" max="10757" width="14.25" style="77" customWidth="1"/>
    <col min="10758" max="10765" width="15.125" style="77" customWidth="1"/>
    <col min="10766" max="10766" width="16" style="77" customWidth="1"/>
    <col min="10767" max="11006" width="8.75" style="77"/>
    <col min="11007" max="11007" width="50" style="77" customWidth="1"/>
    <col min="11008" max="11008" width="16.125" style="77" customWidth="1"/>
    <col min="11009" max="11009" width="15.25" style="77" customWidth="1"/>
    <col min="11010" max="11010" width="13.75" style="77" customWidth="1"/>
    <col min="11011" max="11013" width="14.25" style="77" customWidth="1"/>
    <col min="11014" max="11021" width="15.125" style="77" customWidth="1"/>
    <col min="11022" max="11022" width="16" style="77" customWidth="1"/>
    <col min="11023" max="11262" width="8.75" style="77"/>
    <col min="11263" max="11263" width="50" style="77" customWidth="1"/>
    <col min="11264" max="11264" width="16.125" style="77" customWidth="1"/>
    <col min="11265" max="11265" width="15.25" style="77" customWidth="1"/>
    <col min="11266" max="11266" width="13.75" style="77" customWidth="1"/>
    <col min="11267" max="11269" width="14.25" style="77" customWidth="1"/>
    <col min="11270" max="11277" width="15.125" style="77" customWidth="1"/>
    <col min="11278" max="11278" width="16" style="77" customWidth="1"/>
    <col min="11279" max="11518" width="8.75" style="77"/>
    <col min="11519" max="11519" width="50" style="77" customWidth="1"/>
    <col min="11520" max="11520" width="16.125" style="77" customWidth="1"/>
    <col min="11521" max="11521" width="15.25" style="77" customWidth="1"/>
    <col min="11522" max="11522" width="13.75" style="77" customWidth="1"/>
    <col min="11523" max="11525" width="14.25" style="77" customWidth="1"/>
    <col min="11526" max="11533" width="15.125" style="77" customWidth="1"/>
    <col min="11534" max="11534" width="16" style="77" customWidth="1"/>
    <col min="11535" max="11774" width="8.75" style="77"/>
    <col min="11775" max="11775" width="50" style="77" customWidth="1"/>
    <col min="11776" max="11776" width="16.125" style="77" customWidth="1"/>
    <col min="11777" max="11777" width="15.25" style="77" customWidth="1"/>
    <col min="11778" max="11778" width="13.75" style="77" customWidth="1"/>
    <col min="11779" max="11781" width="14.25" style="77" customWidth="1"/>
    <col min="11782" max="11789" width="15.125" style="77" customWidth="1"/>
    <col min="11790" max="11790" width="16" style="77" customWidth="1"/>
    <col min="11791" max="12030" width="8.75" style="77"/>
    <col min="12031" max="12031" width="50" style="77" customWidth="1"/>
    <col min="12032" max="12032" width="16.125" style="77" customWidth="1"/>
    <col min="12033" max="12033" width="15.25" style="77" customWidth="1"/>
    <col min="12034" max="12034" width="13.75" style="77" customWidth="1"/>
    <col min="12035" max="12037" width="14.25" style="77" customWidth="1"/>
    <col min="12038" max="12045" width="15.125" style="77" customWidth="1"/>
    <col min="12046" max="12046" width="16" style="77" customWidth="1"/>
    <col min="12047" max="12286" width="8.75" style="77"/>
    <col min="12287" max="12287" width="50" style="77" customWidth="1"/>
    <col min="12288" max="12288" width="16.125" style="77" customWidth="1"/>
    <col min="12289" max="12289" width="15.25" style="77" customWidth="1"/>
    <col min="12290" max="12290" width="13.75" style="77" customWidth="1"/>
    <col min="12291" max="12293" width="14.25" style="77" customWidth="1"/>
    <col min="12294" max="12301" width="15.125" style="77" customWidth="1"/>
    <col min="12302" max="12302" width="16" style="77" customWidth="1"/>
    <col min="12303" max="12542" width="8.75" style="77"/>
    <col min="12543" max="12543" width="50" style="77" customWidth="1"/>
    <col min="12544" max="12544" width="16.125" style="77" customWidth="1"/>
    <col min="12545" max="12545" width="15.25" style="77" customWidth="1"/>
    <col min="12546" max="12546" width="13.75" style="77" customWidth="1"/>
    <col min="12547" max="12549" width="14.25" style="77" customWidth="1"/>
    <col min="12550" max="12557" width="15.125" style="77" customWidth="1"/>
    <col min="12558" max="12558" width="16" style="77" customWidth="1"/>
    <col min="12559" max="12798" width="8.75" style="77"/>
    <col min="12799" max="12799" width="50" style="77" customWidth="1"/>
    <col min="12800" max="12800" width="16.125" style="77" customWidth="1"/>
    <col min="12801" max="12801" width="15.25" style="77" customWidth="1"/>
    <col min="12802" max="12802" width="13.75" style="77" customWidth="1"/>
    <col min="12803" max="12805" width="14.25" style="77" customWidth="1"/>
    <col min="12806" max="12813" width="15.125" style="77" customWidth="1"/>
    <col min="12814" max="12814" width="16" style="77" customWidth="1"/>
    <col min="12815" max="13054" width="8.75" style="77"/>
    <col min="13055" max="13055" width="50" style="77" customWidth="1"/>
    <col min="13056" max="13056" width="16.125" style="77" customWidth="1"/>
    <col min="13057" max="13057" width="15.25" style="77" customWidth="1"/>
    <col min="13058" max="13058" width="13.75" style="77" customWidth="1"/>
    <col min="13059" max="13061" width="14.25" style="77" customWidth="1"/>
    <col min="13062" max="13069" width="15.125" style="77" customWidth="1"/>
    <col min="13070" max="13070" width="16" style="77" customWidth="1"/>
    <col min="13071" max="13310" width="8.75" style="77"/>
    <col min="13311" max="13311" width="50" style="77" customWidth="1"/>
    <col min="13312" max="13312" width="16.125" style="77" customWidth="1"/>
    <col min="13313" max="13313" width="15.25" style="77" customWidth="1"/>
    <col min="13314" max="13314" width="13.75" style="77" customWidth="1"/>
    <col min="13315" max="13317" width="14.25" style="77" customWidth="1"/>
    <col min="13318" max="13325" width="15.125" style="77" customWidth="1"/>
    <col min="13326" max="13326" width="16" style="77" customWidth="1"/>
    <col min="13327" max="13566" width="8.75" style="77"/>
    <col min="13567" max="13567" width="50" style="77" customWidth="1"/>
    <col min="13568" max="13568" width="16.125" style="77" customWidth="1"/>
    <col min="13569" max="13569" width="15.25" style="77" customWidth="1"/>
    <col min="13570" max="13570" width="13.75" style="77" customWidth="1"/>
    <col min="13571" max="13573" width="14.25" style="77" customWidth="1"/>
    <col min="13574" max="13581" width="15.125" style="77" customWidth="1"/>
    <col min="13582" max="13582" width="16" style="77" customWidth="1"/>
    <col min="13583" max="13822" width="8.75" style="77"/>
    <col min="13823" max="13823" width="50" style="77" customWidth="1"/>
    <col min="13824" max="13824" width="16.125" style="77" customWidth="1"/>
    <col min="13825" max="13825" width="15.25" style="77" customWidth="1"/>
    <col min="13826" max="13826" width="13.75" style="77" customWidth="1"/>
    <col min="13827" max="13829" width="14.25" style="77" customWidth="1"/>
    <col min="13830" max="13837" width="15.125" style="77" customWidth="1"/>
    <col min="13838" max="13838" width="16" style="77" customWidth="1"/>
    <col min="13839" max="14078" width="8.75" style="77"/>
    <col min="14079" max="14079" width="50" style="77" customWidth="1"/>
    <col min="14080" max="14080" width="16.125" style="77" customWidth="1"/>
    <col min="14081" max="14081" width="15.25" style="77" customWidth="1"/>
    <col min="14082" max="14082" width="13.75" style="77" customWidth="1"/>
    <col min="14083" max="14085" width="14.25" style="77" customWidth="1"/>
    <col min="14086" max="14093" width="15.125" style="77" customWidth="1"/>
    <col min="14094" max="14094" width="16" style="77" customWidth="1"/>
    <col min="14095" max="14334" width="8.75" style="77"/>
    <col min="14335" max="14335" width="50" style="77" customWidth="1"/>
    <col min="14336" max="14336" width="16.125" style="77" customWidth="1"/>
    <col min="14337" max="14337" width="15.25" style="77" customWidth="1"/>
    <col min="14338" max="14338" width="13.75" style="77" customWidth="1"/>
    <col min="14339" max="14341" width="14.25" style="77" customWidth="1"/>
    <col min="14342" max="14349" width="15.125" style="77" customWidth="1"/>
    <col min="14350" max="14350" width="16" style="77" customWidth="1"/>
    <col min="14351" max="14590" width="8.75" style="77"/>
    <col min="14591" max="14591" width="50" style="77" customWidth="1"/>
    <col min="14592" max="14592" width="16.125" style="77" customWidth="1"/>
    <col min="14593" max="14593" width="15.25" style="77" customWidth="1"/>
    <col min="14594" max="14594" width="13.75" style="77" customWidth="1"/>
    <col min="14595" max="14597" width="14.25" style="77" customWidth="1"/>
    <col min="14598" max="14605" width="15.125" style="77" customWidth="1"/>
    <col min="14606" max="14606" width="16" style="77" customWidth="1"/>
    <col min="14607" max="14846" width="8.75" style="77"/>
    <col min="14847" max="14847" width="50" style="77" customWidth="1"/>
    <col min="14848" max="14848" width="16.125" style="77" customWidth="1"/>
    <col min="14849" max="14849" width="15.25" style="77" customWidth="1"/>
    <col min="14850" max="14850" width="13.75" style="77" customWidth="1"/>
    <col min="14851" max="14853" width="14.25" style="77" customWidth="1"/>
    <col min="14854" max="14861" width="15.125" style="77" customWidth="1"/>
    <col min="14862" max="14862" width="16" style="77" customWidth="1"/>
    <col min="14863" max="15102" width="8.75" style="77"/>
    <col min="15103" max="15103" width="50" style="77" customWidth="1"/>
    <col min="15104" max="15104" width="16.125" style="77" customWidth="1"/>
    <col min="15105" max="15105" width="15.25" style="77" customWidth="1"/>
    <col min="15106" max="15106" width="13.75" style="77" customWidth="1"/>
    <col min="15107" max="15109" width="14.25" style="77" customWidth="1"/>
    <col min="15110" max="15117" width="15.125" style="77" customWidth="1"/>
    <col min="15118" max="15118" width="16" style="77" customWidth="1"/>
    <col min="15119" max="15358" width="8.75" style="77"/>
    <col min="15359" max="15359" width="50" style="77" customWidth="1"/>
    <col min="15360" max="15360" width="16.125" style="77" customWidth="1"/>
    <col min="15361" max="15361" width="15.25" style="77" customWidth="1"/>
    <col min="15362" max="15362" width="13.75" style="77" customWidth="1"/>
    <col min="15363" max="15365" width="14.25" style="77" customWidth="1"/>
    <col min="15366" max="15373" width="15.125" style="77" customWidth="1"/>
    <col min="15374" max="15374" width="16" style="77" customWidth="1"/>
    <col min="15375" max="15614" width="8.75" style="77"/>
    <col min="15615" max="15615" width="50" style="77" customWidth="1"/>
    <col min="15616" max="15616" width="16.125" style="77" customWidth="1"/>
    <col min="15617" max="15617" width="15.25" style="77" customWidth="1"/>
    <col min="15618" max="15618" width="13.75" style="77" customWidth="1"/>
    <col min="15619" max="15621" width="14.25" style="77" customWidth="1"/>
    <col min="15622" max="15629" width="15.125" style="77" customWidth="1"/>
    <col min="15630" max="15630" width="16" style="77" customWidth="1"/>
    <col min="15631" max="15870" width="8.75" style="77"/>
    <col min="15871" max="15871" width="50" style="77" customWidth="1"/>
    <col min="15872" max="15872" width="16.125" style="77" customWidth="1"/>
    <col min="15873" max="15873" width="15.25" style="77" customWidth="1"/>
    <col min="15874" max="15874" width="13.75" style="77" customWidth="1"/>
    <col min="15875" max="15877" width="14.25" style="77" customWidth="1"/>
    <col min="15878" max="15885" width="15.125" style="77" customWidth="1"/>
    <col min="15886" max="15886" width="16" style="77" customWidth="1"/>
    <col min="15887" max="16126" width="8.75" style="77"/>
    <col min="16127" max="16127" width="50" style="77" customWidth="1"/>
    <col min="16128" max="16128" width="16.125" style="77" customWidth="1"/>
    <col min="16129" max="16129" width="15.25" style="77" customWidth="1"/>
    <col min="16130" max="16130" width="13.75" style="77" customWidth="1"/>
    <col min="16131" max="16133" width="14.25" style="77" customWidth="1"/>
    <col min="16134" max="16141" width="15.125" style="77" customWidth="1"/>
    <col min="16142" max="16142" width="16" style="77" customWidth="1"/>
    <col min="16143" max="16384" width="8.75" style="77"/>
  </cols>
  <sheetData>
    <row r="1" spans="1:16" ht="65.25" customHeight="1" thickTop="1" thickBo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6" ht="30.6" customHeight="1" thickTop="1" thickBot="1">
      <c r="A2" s="333" t="s">
        <v>5657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</row>
    <row r="3" spans="1:16" ht="36" customHeight="1" thickTop="1" thickBot="1">
      <c r="A3" s="313" t="s">
        <v>0</v>
      </c>
      <c r="B3" s="313"/>
      <c r="C3" s="342" t="s">
        <v>5790</v>
      </c>
      <c r="D3" s="342"/>
      <c r="E3" s="342"/>
      <c r="F3" s="342"/>
      <c r="G3" s="342"/>
      <c r="H3" s="342"/>
      <c r="I3" s="342"/>
      <c r="J3" s="342"/>
      <c r="K3" s="342"/>
      <c r="L3" s="342"/>
      <c r="M3" s="276" t="s">
        <v>1</v>
      </c>
      <c r="N3" s="277"/>
      <c r="O3" s="206" t="e">
        <f>C13/(C319-C13)</f>
        <v>#DIV/0!</v>
      </c>
    </row>
    <row r="4" spans="1:16" ht="34.9" customHeight="1" thickTop="1" thickBot="1">
      <c r="A4" s="313" t="s">
        <v>2</v>
      </c>
      <c r="B4" s="313"/>
      <c r="C4" s="343" t="s">
        <v>3</v>
      </c>
      <c r="D4" s="343"/>
      <c r="E4" s="343"/>
      <c r="F4" s="343"/>
      <c r="G4" s="343"/>
      <c r="H4" s="343"/>
      <c r="I4" s="343"/>
      <c r="J4" s="343"/>
      <c r="K4" s="343"/>
      <c r="L4" s="343"/>
      <c r="M4" s="278" t="s">
        <v>4</v>
      </c>
      <c r="N4" s="252"/>
    </row>
    <row r="5" spans="1:16" ht="37.15" customHeight="1" thickTop="1" thickBot="1">
      <c r="A5" s="313" t="s">
        <v>5</v>
      </c>
      <c r="B5" s="31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278" t="s">
        <v>5635</v>
      </c>
      <c r="N5" s="252"/>
    </row>
    <row r="6" spans="1:16" ht="31.15" customHeight="1" thickTop="1" thickBot="1">
      <c r="A6" s="313" t="s">
        <v>6</v>
      </c>
      <c r="B6" s="31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278" t="s">
        <v>7</v>
      </c>
      <c r="N6" s="253"/>
    </row>
    <row r="7" spans="1:16" ht="16.5" thickTop="1">
      <c r="A7" s="334" t="s">
        <v>5651</v>
      </c>
      <c r="B7" s="336" t="s">
        <v>5658</v>
      </c>
      <c r="C7" s="338" t="s">
        <v>5659</v>
      </c>
      <c r="D7" s="275" t="s">
        <v>5660</v>
      </c>
      <c r="E7" s="275" t="s">
        <v>5661</v>
      </c>
      <c r="F7" s="275" t="s">
        <v>5662</v>
      </c>
      <c r="G7" s="275" t="s">
        <v>5663</v>
      </c>
      <c r="H7" s="275" t="s">
        <v>5664</v>
      </c>
      <c r="I7" s="275" t="s">
        <v>5665</v>
      </c>
      <c r="J7" s="275" t="s">
        <v>5666</v>
      </c>
      <c r="K7" s="275" t="s">
        <v>5667</v>
      </c>
      <c r="L7" s="275" t="s">
        <v>5668</v>
      </c>
      <c r="M7" s="275" t="s">
        <v>5669</v>
      </c>
      <c r="N7" s="279" t="s">
        <v>5656</v>
      </c>
      <c r="O7" s="207"/>
    </row>
    <row r="8" spans="1:16">
      <c r="A8" s="335"/>
      <c r="B8" s="337"/>
      <c r="C8" s="339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280"/>
    </row>
    <row r="9" spans="1:16">
      <c r="A9" s="281"/>
      <c r="B9" s="189" t="s">
        <v>5670</v>
      </c>
      <c r="C9" s="184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282"/>
    </row>
    <row r="10" spans="1:16">
      <c r="A10" s="323">
        <v>1</v>
      </c>
      <c r="B10" s="317" t="s">
        <v>9</v>
      </c>
      <c r="C10" s="332"/>
      <c r="D10" s="234"/>
      <c r="E10" s="234"/>
      <c r="F10" s="235"/>
      <c r="G10" s="235"/>
      <c r="H10" s="235"/>
      <c r="I10" s="235"/>
      <c r="J10" s="235"/>
      <c r="K10" s="235"/>
      <c r="L10" s="235"/>
      <c r="M10" s="235"/>
      <c r="N10" s="324">
        <f>ROUND(SUM(D12:M12),2)</f>
        <v>0</v>
      </c>
      <c r="O10" s="325"/>
    </row>
    <row r="11" spans="1:16">
      <c r="A11" s="323"/>
      <c r="B11" s="317"/>
      <c r="C11" s="332"/>
      <c r="D11" s="236"/>
      <c r="E11" s="236"/>
      <c r="F11" s="235"/>
      <c r="G11" s="235"/>
      <c r="H11" s="235"/>
      <c r="I11" s="235"/>
      <c r="J11" s="235"/>
      <c r="K11" s="235"/>
      <c r="L11" s="235"/>
      <c r="M11" s="235"/>
      <c r="N11" s="324"/>
      <c r="O11" s="325"/>
    </row>
    <row r="12" spans="1:16">
      <c r="A12" s="323"/>
      <c r="B12" s="317"/>
      <c r="C12" s="332"/>
      <c r="D12" s="237"/>
      <c r="E12" s="237"/>
      <c r="F12" s="235"/>
      <c r="G12" s="235"/>
      <c r="H12" s="235"/>
      <c r="I12" s="235"/>
      <c r="J12" s="235"/>
      <c r="K12" s="235"/>
      <c r="L12" s="235"/>
      <c r="M12" s="235"/>
      <c r="N12" s="324"/>
      <c r="O12" s="325"/>
    </row>
    <row r="13" spans="1:16">
      <c r="A13" s="323">
        <v>2</v>
      </c>
      <c r="B13" s="317" t="s">
        <v>11</v>
      </c>
      <c r="C13" s="332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324">
        <f>ROUND(SUM(D15:M15),2)</f>
        <v>0</v>
      </c>
      <c r="O13" s="325"/>
      <c r="P13" s="206"/>
    </row>
    <row r="14" spans="1:16">
      <c r="A14" s="323"/>
      <c r="B14" s="317"/>
      <c r="C14" s="332"/>
      <c r="D14" s="236"/>
      <c r="E14" s="236"/>
      <c r="F14" s="239"/>
      <c r="G14" s="239"/>
      <c r="H14" s="239"/>
      <c r="I14" s="239"/>
      <c r="J14" s="239"/>
      <c r="K14" s="239"/>
      <c r="L14" s="239"/>
      <c r="M14" s="239"/>
      <c r="N14" s="324"/>
      <c r="O14" s="325"/>
    </row>
    <row r="15" spans="1:16">
      <c r="A15" s="323"/>
      <c r="B15" s="317"/>
      <c r="C15" s="332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324"/>
      <c r="O15" s="325"/>
    </row>
    <row r="16" spans="1:16">
      <c r="A16" s="323">
        <v>3</v>
      </c>
      <c r="B16" s="317" t="s">
        <v>12</v>
      </c>
      <c r="C16" s="332"/>
      <c r="D16" s="234"/>
      <c r="E16" s="234"/>
      <c r="F16" s="235"/>
      <c r="G16" s="235"/>
      <c r="H16" s="235"/>
      <c r="I16" s="235"/>
      <c r="J16" s="235"/>
      <c r="K16" s="235"/>
      <c r="L16" s="235"/>
      <c r="M16" s="235"/>
      <c r="N16" s="324">
        <f>ROUND(SUM(D18:M18),2)</f>
        <v>0</v>
      </c>
      <c r="O16" s="325"/>
      <c r="P16" s="206"/>
    </row>
    <row r="17" spans="1:17">
      <c r="A17" s="323"/>
      <c r="B17" s="317"/>
      <c r="C17" s="332"/>
      <c r="D17" s="236"/>
      <c r="E17" s="236"/>
      <c r="F17" s="235"/>
      <c r="G17" s="235"/>
      <c r="H17" s="235"/>
      <c r="I17" s="235"/>
      <c r="J17" s="235"/>
      <c r="K17" s="235"/>
      <c r="L17" s="235"/>
      <c r="M17" s="235"/>
      <c r="N17" s="324"/>
      <c r="O17" s="325"/>
      <c r="Q17" s="208"/>
    </row>
    <row r="18" spans="1:17">
      <c r="A18" s="323"/>
      <c r="B18" s="317"/>
      <c r="C18" s="332"/>
      <c r="D18" s="237"/>
      <c r="E18" s="237"/>
      <c r="F18" s="235"/>
      <c r="G18" s="235"/>
      <c r="H18" s="235"/>
      <c r="I18" s="235"/>
      <c r="J18" s="235"/>
      <c r="K18" s="235"/>
      <c r="L18" s="235"/>
      <c r="M18" s="235"/>
      <c r="N18" s="324"/>
      <c r="O18" s="325"/>
      <c r="Q18" s="208"/>
    </row>
    <row r="19" spans="1:17">
      <c r="A19" s="323">
        <v>4</v>
      </c>
      <c r="B19" s="317" t="s">
        <v>14</v>
      </c>
      <c r="C19" s="332"/>
      <c r="D19" s="234"/>
      <c r="E19" s="234"/>
      <c r="F19" s="235"/>
      <c r="G19" s="235"/>
      <c r="H19" s="235"/>
      <c r="I19" s="235"/>
      <c r="J19" s="235"/>
      <c r="K19" s="235"/>
      <c r="L19" s="235"/>
      <c r="M19" s="235"/>
      <c r="N19" s="324">
        <f>ROUND(SUM(D21:M21),2)</f>
        <v>0</v>
      </c>
      <c r="O19" s="325"/>
      <c r="P19" s="206"/>
      <c r="Q19" s="208"/>
    </row>
    <row r="20" spans="1:17">
      <c r="A20" s="323"/>
      <c r="B20" s="317"/>
      <c r="C20" s="332"/>
      <c r="D20" s="236"/>
      <c r="E20" s="236"/>
      <c r="F20" s="235"/>
      <c r="G20" s="235"/>
      <c r="H20" s="235"/>
      <c r="I20" s="235"/>
      <c r="J20" s="235"/>
      <c r="K20" s="235"/>
      <c r="L20" s="235"/>
      <c r="M20" s="235"/>
      <c r="N20" s="324"/>
      <c r="O20" s="325"/>
      <c r="Q20" s="208"/>
    </row>
    <row r="21" spans="1:17">
      <c r="A21" s="323"/>
      <c r="B21" s="317"/>
      <c r="C21" s="332"/>
      <c r="D21" s="237"/>
      <c r="E21" s="237"/>
      <c r="F21" s="235"/>
      <c r="G21" s="235"/>
      <c r="H21" s="235"/>
      <c r="I21" s="235"/>
      <c r="J21" s="235"/>
      <c r="K21" s="235"/>
      <c r="L21" s="235"/>
      <c r="M21" s="235"/>
      <c r="N21" s="324"/>
      <c r="O21" s="325"/>
      <c r="Q21" s="208"/>
    </row>
    <row r="22" spans="1:17" ht="20.25">
      <c r="A22" s="283">
        <v>5</v>
      </c>
      <c r="B22" s="79" t="s">
        <v>5671</v>
      </c>
      <c r="C22" s="176">
        <f>SUM(C23:C67)</f>
        <v>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284">
        <f>SUM(N23:N67)</f>
        <v>0</v>
      </c>
      <c r="Q22" s="208"/>
    </row>
    <row r="23" spans="1:17">
      <c r="A23" s="323" t="s">
        <v>2819</v>
      </c>
      <c r="B23" s="317" t="s">
        <v>1965</v>
      </c>
      <c r="C23" s="332"/>
      <c r="D23" s="235"/>
      <c r="E23" s="240"/>
      <c r="F23" s="240"/>
      <c r="G23" s="240"/>
      <c r="H23" s="235"/>
      <c r="I23" s="235"/>
      <c r="J23" s="235"/>
      <c r="K23" s="235"/>
      <c r="L23" s="235"/>
      <c r="M23" s="235"/>
      <c r="N23" s="324">
        <f>SUM(D25:M25)</f>
        <v>0</v>
      </c>
      <c r="O23" s="325"/>
      <c r="Q23" s="208"/>
    </row>
    <row r="24" spans="1:17">
      <c r="A24" s="323"/>
      <c r="B24" s="317"/>
      <c r="C24" s="332"/>
      <c r="D24" s="235"/>
      <c r="E24" s="239"/>
      <c r="F24" s="235"/>
      <c r="G24" s="235"/>
      <c r="H24" s="235"/>
      <c r="I24" s="235"/>
      <c r="J24" s="235"/>
      <c r="K24" s="235"/>
      <c r="L24" s="235"/>
      <c r="M24" s="235"/>
      <c r="N24" s="324"/>
      <c r="O24" s="325"/>
      <c r="Q24" s="208"/>
    </row>
    <row r="25" spans="1:17">
      <c r="A25" s="323"/>
      <c r="B25" s="317"/>
      <c r="C25" s="332"/>
      <c r="D25" s="235"/>
      <c r="E25" s="241"/>
      <c r="F25" s="241"/>
      <c r="G25" s="241"/>
      <c r="H25" s="235"/>
      <c r="I25" s="235"/>
      <c r="J25" s="235"/>
      <c r="K25" s="235"/>
      <c r="L25" s="235"/>
      <c r="M25" s="235"/>
      <c r="N25" s="324"/>
      <c r="O25" s="325"/>
      <c r="Q25" s="208"/>
    </row>
    <row r="26" spans="1:17">
      <c r="A26" s="323" t="s">
        <v>5672</v>
      </c>
      <c r="B26" s="317" t="s">
        <v>76</v>
      </c>
      <c r="C26" s="332"/>
      <c r="D26" s="235"/>
      <c r="E26" s="240"/>
      <c r="F26" s="240"/>
      <c r="G26" s="240"/>
      <c r="H26" s="240"/>
      <c r="I26" s="235"/>
      <c r="J26" s="235"/>
      <c r="K26" s="235"/>
      <c r="L26" s="235"/>
      <c r="M26" s="235"/>
      <c r="N26" s="324">
        <f>SUM(D28:M28)</f>
        <v>0</v>
      </c>
      <c r="O26" s="325"/>
      <c r="Q26" s="208"/>
    </row>
    <row r="27" spans="1:17">
      <c r="A27" s="323"/>
      <c r="B27" s="317"/>
      <c r="C27" s="332"/>
      <c r="D27" s="235"/>
      <c r="E27" s="239"/>
      <c r="F27" s="239"/>
      <c r="G27" s="239"/>
      <c r="H27" s="235"/>
      <c r="I27" s="235"/>
      <c r="J27" s="235"/>
      <c r="K27" s="235"/>
      <c r="L27" s="235"/>
      <c r="M27" s="235"/>
      <c r="N27" s="324"/>
      <c r="O27" s="325"/>
      <c r="Q27" s="208"/>
    </row>
    <row r="28" spans="1:17">
      <c r="A28" s="323"/>
      <c r="B28" s="317"/>
      <c r="C28" s="332"/>
      <c r="D28" s="235"/>
      <c r="E28" s="241"/>
      <c r="F28" s="241"/>
      <c r="G28" s="241"/>
      <c r="H28" s="241"/>
      <c r="I28" s="241"/>
      <c r="J28" s="241"/>
      <c r="K28" s="241"/>
      <c r="L28" s="241"/>
      <c r="M28" s="241"/>
      <c r="N28" s="324"/>
      <c r="O28" s="325"/>
      <c r="Q28" s="208"/>
    </row>
    <row r="29" spans="1:17">
      <c r="A29" s="323" t="s">
        <v>5673</v>
      </c>
      <c r="B29" s="317" t="s">
        <v>134</v>
      </c>
      <c r="C29" s="332"/>
      <c r="D29" s="235"/>
      <c r="E29" s="235"/>
      <c r="F29" s="235"/>
      <c r="G29" s="240"/>
      <c r="H29" s="240"/>
      <c r="I29" s="240"/>
      <c r="J29" s="240"/>
      <c r="K29" s="235"/>
      <c r="L29" s="235"/>
      <c r="M29" s="235"/>
      <c r="N29" s="324">
        <f>SUM(D31:M31)</f>
        <v>0</v>
      </c>
      <c r="O29" s="325"/>
      <c r="Q29" s="208"/>
    </row>
    <row r="30" spans="1:17">
      <c r="A30" s="323"/>
      <c r="B30" s="317"/>
      <c r="C30" s="332"/>
      <c r="D30" s="235"/>
      <c r="E30" s="235"/>
      <c r="F30" s="235"/>
      <c r="G30" s="239"/>
      <c r="H30" s="239"/>
      <c r="I30" s="239"/>
      <c r="J30" s="235"/>
      <c r="K30" s="235"/>
      <c r="L30" s="235"/>
      <c r="M30" s="235"/>
      <c r="N30" s="324"/>
      <c r="O30" s="325"/>
      <c r="Q30" s="208"/>
    </row>
    <row r="31" spans="1:17">
      <c r="A31" s="323"/>
      <c r="B31" s="317"/>
      <c r="C31" s="332"/>
      <c r="D31" s="235"/>
      <c r="E31" s="235"/>
      <c r="F31" s="235"/>
      <c r="G31" s="241"/>
      <c r="H31" s="241"/>
      <c r="I31" s="241"/>
      <c r="J31" s="241"/>
      <c r="K31" s="235"/>
      <c r="L31" s="235"/>
      <c r="M31" s="235"/>
      <c r="N31" s="324"/>
      <c r="O31" s="325"/>
      <c r="Q31" s="208"/>
    </row>
    <row r="32" spans="1:17">
      <c r="A32" s="323" t="s">
        <v>5674</v>
      </c>
      <c r="B32" s="317" t="s">
        <v>158</v>
      </c>
      <c r="C32" s="332"/>
      <c r="D32" s="235"/>
      <c r="E32" s="235"/>
      <c r="F32" s="235"/>
      <c r="G32" s="235"/>
      <c r="H32" s="235"/>
      <c r="I32" s="240"/>
      <c r="J32" s="240"/>
      <c r="K32" s="240"/>
      <c r="L32" s="235"/>
      <c r="M32" s="235"/>
      <c r="N32" s="324">
        <f>SUM(D34:M34)</f>
        <v>0</v>
      </c>
      <c r="O32" s="325"/>
      <c r="Q32" s="208"/>
    </row>
    <row r="33" spans="1:17">
      <c r="A33" s="323"/>
      <c r="B33" s="317"/>
      <c r="C33" s="332"/>
      <c r="D33" s="235"/>
      <c r="E33" s="235"/>
      <c r="F33" s="235"/>
      <c r="G33" s="235"/>
      <c r="H33" s="235"/>
      <c r="I33" s="239"/>
      <c r="J33" s="239"/>
      <c r="K33" s="235"/>
      <c r="L33" s="235"/>
      <c r="M33" s="235"/>
      <c r="N33" s="324"/>
      <c r="O33" s="325"/>
      <c r="Q33" s="208"/>
    </row>
    <row r="34" spans="1:17">
      <c r="A34" s="323"/>
      <c r="B34" s="317"/>
      <c r="C34" s="332"/>
      <c r="D34" s="235"/>
      <c r="E34" s="235"/>
      <c r="F34" s="235"/>
      <c r="G34" s="235"/>
      <c r="H34" s="235"/>
      <c r="I34" s="241"/>
      <c r="J34" s="241"/>
      <c r="K34" s="241"/>
      <c r="L34" s="235"/>
      <c r="M34" s="235"/>
      <c r="N34" s="324"/>
      <c r="O34" s="325"/>
      <c r="Q34" s="208"/>
    </row>
    <row r="35" spans="1:17">
      <c r="A35" s="323" t="s">
        <v>5675</v>
      </c>
      <c r="B35" s="329" t="s">
        <v>5676</v>
      </c>
      <c r="C35" s="332"/>
      <c r="D35" s="235"/>
      <c r="E35" s="240"/>
      <c r="F35" s="240"/>
      <c r="G35" s="235"/>
      <c r="H35" s="240"/>
      <c r="I35" s="240"/>
      <c r="J35" s="240"/>
      <c r="K35" s="240"/>
      <c r="L35" s="240"/>
      <c r="M35" s="235"/>
      <c r="N35" s="324">
        <f>SUM(D37:M37)</f>
        <v>0</v>
      </c>
      <c r="O35" s="325"/>
      <c r="Q35" s="208"/>
    </row>
    <row r="36" spans="1:17">
      <c r="A36" s="323"/>
      <c r="B36" s="330"/>
      <c r="C36" s="332"/>
      <c r="D36" s="235"/>
      <c r="E36" s="239"/>
      <c r="F36" s="235"/>
      <c r="G36" s="235"/>
      <c r="H36" s="235"/>
      <c r="I36" s="239"/>
      <c r="J36" s="239"/>
      <c r="K36" s="235"/>
      <c r="L36" s="235"/>
      <c r="M36" s="235"/>
      <c r="N36" s="324"/>
      <c r="O36" s="325"/>
      <c r="Q36" s="208"/>
    </row>
    <row r="37" spans="1:17">
      <c r="A37" s="323"/>
      <c r="B37" s="331"/>
      <c r="C37" s="332"/>
      <c r="D37" s="235"/>
      <c r="E37" s="241"/>
      <c r="F37" s="241"/>
      <c r="G37" s="235"/>
      <c r="H37" s="241"/>
      <c r="I37" s="241"/>
      <c r="J37" s="241"/>
      <c r="K37" s="241"/>
      <c r="L37" s="241"/>
      <c r="M37" s="235"/>
      <c r="N37" s="324"/>
      <c r="O37" s="325"/>
      <c r="Q37" s="208"/>
    </row>
    <row r="38" spans="1:17">
      <c r="A38" s="323" t="s">
        <v>5677</v>
      </c>
      <c r="B38" s="329" t="s">
        <v>204</v>
      </c>
      <c r="C38" s="332"/>
      <c r="D38" s="235"/>
      <c r="E38" s="235"/>
      <c r="F38" s="235"/>
      <c r="G38" s="235"/>
      <c r="H38" s="240"/>
      <c r="I38" s="240"/>
      <c r="J38" s="240"/>
      <c r="K38" s="240"/>
      <c r="L38" s="240"/>
      <c r="M38" s="235"/>
      <c r="N38" s="324">
        <f>SUM(D40:M40)</f>
        <v>0</v>
      </c>
      <c r="O38" s="325"/>
      <c r="Q38" s="208"/>
    </row>
    <row r="39" spans="1:17">
      <c r="A39" s="323"/>
      <c r="B39" s="330"/>
      <c r="C39" s="332"/>
      <c r="D39" s="235"/>
      <c r="E39" s="235"/>
      <c r="F39" s="235"/>
      <c r="G39" s="235"/>
      <c r="H39" s="239"/>
      <c r="I39" s="239"/>
      <c r="J39" s="239"/>
      <c r="K39" s="235"/>
      <c r="L39" s="235"/>
      <c r="M39" s="235"/>
      <c r="N39" s="324"/>
      <c r="O39" s="325"/>
      <c r="Q39" s="208"/>
    </row>
    <row r="40" spans="1:17">
      <c r="A40" s="323"/>
      <c r="B40" s="331"/>
      <c r="C40" s="332"/>
      <c r="D40" s="235"/>
      <c r="E40" s="235"/>
      <c r="F40" s="235"/>
      <c r="G40" s="235"/>
      <c r="H40" s="241"/>
      <c r="I40" s="241"/>
      <c r="J40" s="241"/>
      <c r="K40" s="241"/>
      <c r="L40" s="241"/>
      <c r="M40" s="235"/>
      <c r="N40" s="324"/>
      <c r="O40" s="325"/>
      <c r="Q40" s="208"/>
    </row>
    <row r="41" spans="1:17">
      <c r="A41" s="323" t="s">
        <v>5678</v>
      </c>
      <c r="B41" s="329" t="s">
        <v>257</v>
      </c>
      <c r="C41" s="332"/>
      <c r="D41" s="235"/>
      <c r="E41" s="235"/>
      <c r="F41" s="235"/>
      <c r="G41" s="235"/>
      <c r="H41" s="235"/>
      <c r="I41" s="240"/>
      <c r="J41" s="240"/>
      <c r="K41" s="240"/>
      <c r="L41" s="240"/>
      <c r="M41" s="240"/>
      <c r="N41" s="324">
        <f>SUM(D43:M43)</f>
        <v>0</v>
      </c>
      <c r="O41" s="325"/>
      <c r="Q41" s="208"/>
    </row>
    <row r="42" spans="1:17">
      <c r="A42" s="323"/>
      <c r="B42" s="330"/>
      <c r="C42" s="332"/>
      <c r="D42" s="235"/>
      <c r="E42" s="235"/>
      <c r="F42" s="235"/>
      <c r="G42" s="235"/>
      <c r="H42" s="235"/>
      <c r="I42" s="239"/>
      <c r="J42" s="239"/>
      <c r="K42" s="239"/>
      <c r="L42" s="235"/>
      <c r="M42" s="235"/>
      <c r="N42" s="324"/>
      <c r="O42" s="325"/>
      <c r="Q42" s="208"/>
    </row>
    <row r="43" spans="1:17">
      <c r="A43" s="323"/>
      <c r="B43" s="331"/>
      <c r="C43" s="332"/>
      <c r="D43" s="235"/>
      <c r="E43" s="235"/>
      <c r="F43" s="235"/>
      <c r="G43" s="235"/>
      <c r="H43" s="235"/>
      <c r="I43" s="241"/>
      <c r="J43" s="241"/>
      <c r="K43" s="241"/>
      <c r="L43" s="241"/>
      <c r="M43" s="241"/>
      <c r="N43" s="324"/>
      <c r="O43" s="325"/>
      <c r="Q43" s="208"/>
    </row>
    <row r="44" spans="1:17">
      <c r="A44" s="323" t="s">
        <v>3129</v>
      </c>
      <c r="B44" s="329" t="s">
        <v>294</v>
      </c>
      <c r="C44" s="332"/>
      <c r="D44" s="235"/>
      <c r="E44" s="235"/>
      <c r="F44" s="235"/>
      <c r="G44" s="235"/>
      <c r="H44" s="235"/>
      <c r="I44" s="235"/>
      <c r="J44" s="240"/>
      <c r="K44" s="240"/>
      <c r="L44" s="240"/>
      <c r="M44" s="240"/>
      <c r="N44" s="324">
        <f>SUM(D46:M46)</f>
        <v>0</v>
      </c>
      <c r="O44" s="325"/>
      <c r="Q44" s="208"/>
    </row>
    <row r="45" spans="1:17">
      <c r="A45" s="323"/>
      <c r="B45" s="330"/>
      <c r="C45" s="332"/>
      <c r="D45" s="235"/>
      <c r="E45" s="235"/>
      <c r="F45" s="235"/>
      <c r="G45" s="235"/>
      <c r="H45" s="235"/>
      <c r="I45" s="235"/>
      <c r="J45" s="239"/>
      <c r="K45" s="239"/>
      <c r="L45" s="235"/>
      <c r="M45" s="235"/>
      <c r="N45" s="324"/>
      <c r="O45" s="325"/>
      <c r="Q45" s="208"/>
    </row>
    <row r="46" spans="1:17">
      <c r="A46" s="323"/>
      <c r="B46" s="331"/>
      <c r="C46" s="332"/>
      <c r="D46" s="235"/>
      <c r="E46" s="235"/>
      <c r="F46" s="235"/>
      <c r="G46" s="235"/>
      <c r="H46" s="235"/>
      <c r="I46" s="235"/>
      <c r="J46" s="241"/>
      <c r="K46" s="241"/>
      <c r="L46" s="241"/>
      <c r="M46" s="241"/>
      <c r="N46" s="324"/>
      <c r="O46" s="325"/>
      <c r="Q46" s="208"/>
    </row>
    <row r="47" spans="1:17">
      <c r="A47" s="323" t="s">
        <v>5679</v>
      </c>
      <c r="B47" s="329" t="s">
        <v>302</v>
      </c>
      <c r="C47" s="332"/>
      <c r="D47" s="235"/>
      <c r="E47" s="235"/>
      <c r="F47" s="235"/>
      <c r="G47" s="235"/>
      <c r="H47" s="235"/>
      <c r="I47" s="235"/>
      <c r="J47" s="235"/>
      <c r="K47" s="240"/>
      <c r="L47" s="240"/>
      <c r="M47" s="240"/>
      <c r="N47" s="324">
        <f>SUM(D49:M49)</f>
        <v>0</v>
      </c>
      <c r="O47" s="325"/>
      <c r="Q47" s="208"/>
    </row>
    <row r="48" spans="1:17">
      <c r="A48" s="323"/>
      <c r="B48" s="330"/>
      <c r="C48" s="332"/>
      <c r="D48" s="235"/>
      <c r="E48" s="235"/>
      <c r="F48" s="235"/>
      <c r="G48" s="235"/>
      <c r="H48" s="235"/>
      <c r="I48" s="235"/>
      <c r="J48" s="235"/>
      <c r="K48" s="239"/>
      <c r="L48" s="239"/>
      <c r="M48" s="235"/>
      <c r="N48" s="324"/>
      <c r="O48" s="325"/>
      <c r="Q48" s="208"/>
    </row>
    <row r="49" spans="1:17">
      <c r="A49" s="323"/>
      <c r="B49" s="331"/>
      <c r="C49" s="332"/>
      <c r="D49" s="235"/>
      <c r="E49" s="235"/>
      <c r="F49" s="235"/>
      <c r="G49" s="235"/>
      <c r="H49" s="235"/>
      <c r="I49" s="235"/>
      <c r="J49" s="235"/>
      <c r="K49" s="241"/>
      <c r="L49" s="241"/>
      <c r="M49" s="241"/>
      <c r="N49" s="324"/>
      <c r="O49" s="325"/>
      <c r="Q49" s="208"/>
    </row>
    <row r="50" spans="1:17">
      <c r="A50" s="323" t="s">
        <v>5680</v>
      </c>
      <c r="B50" s="329" t="s">
        <v>349</v>
      </c>
      <c r="C50" s="332"/>
      <c r="D50" s="235"/>
      <c r="E50" s="235"/>
      <c r="F50" s="235"/>
      <c r="G50" s="235"/>
      <c r="H50" s="235"/>
      <c r="I50" s="235"/>
      <c r="J50" s="235"/>
      <c r="K50" s="235"/>
      <c r="L50" s="240"/>
      <c r="M50" s="240"/>
      <c r="N50" s="324">
        <f>SUM(D52:M52)</f>
        <v>0</v>
      </c>
      <c r="O50" s="325"/>
      <c r="Q50" s="208"/>
    </row>
    <row r="51" spans="1:17">
      <c r="A51" s="323"/>
      <c r="B51" s="330"/>
      <c r="C51" s="332"/>
      <c r="D51" s="235"/>
      <c r="E51" s="235"/>
      <c r="F51" s="235"/>
      <c r="G51" s="235"/>
      <c r="H51" s="235"/>
      <c r="I51" s="235"/>
      <c r="J51" s="235"/>
      <c r="K51" s="235"/>
      <c r="L51" s="239"/>
      <c r="M51" s="239"/>
      <c r="N51" s="324"/>
      <c r="O51" s="325"/>
      <c r="Q51" s="208"/>
    </row>
    <row r="52" spans="1:17">
      <c r="A52" s="323"/>
      <c r="B52" s="331"/>
      <c r="C52" s="332"/>
      <c r="D52" s="235"/>
      <c r="E52" s="235"/>
      <c r="F52" s="235"/>
      <c r="G52" s="235"/>
      <c r="H52" s="235"/>
      <c r="I52" s="235"/>
      <c r="J52" s="235"/>
      <c r="K52" s="235"/>
      <c r="L52" s="241"/>
      <c r="M52" s="241"/>
      <c r="N52" s="324"/>
      <c r="O52" s="325"/>
      <c r="Q52" s="208"/>
    </row>
    <row r="53" spans="1:17">
      <c r="A53" s="323" t="s">
        <v>5636</v>
      </c>
      <c r="B53" s="329" t="s">
        <v>375</v>
      </c>
      <c r="C53" s="332"/>
      <c r="D53" s="235"/>
      <c r="E53" s="235"/>
      <c r="F53" s="235"/>
      <c r="G53" s="235"/>
      <c r="H53" s="235"/>
      <c r="I53" s="235"/>
      <c r="J53" s="240"/>
      <c r="K53" s="240"/>
      <c r="L53" s="240"/>
      <c r="M53" s="240"/>
      <c r="N53" s="324">
        <f>SUM(D55:M55)</f>
        <v>0</v>
      </c>
      <c r="O53" s="325"/>
      <c r="Q53" s="208"/>
    </row>
    <row r="54" spans="1:17">
      <c r="A54" s="323"/>
      <c r="B54" s="330"/>
      <c r="C54" s="332"/>
      <c r="D54" s="235"/>
      <c r="E54" s="235"/>
      <c r="F54" s="235"/>
      <c r="G54" s="235"/>
      <c r="H54" s="235"/>
      <c r="I54" s="235"/>
      <c r="J54" s="235"/>
      <c r="K54" s="239"/>
      <c r="L54" s="239"/>
      <c r="M54" s="235"/>
      <c r="N54" s="324"/>
      <c r="O54" s="325"/>
      <c r="Q54" s="208"/>
    </row>
    <row r="55" spans="1:17">
      <c r="A55" s="323"/>
      <c r="B55" s="331"/>
      <c r="C55" s="332"/>
      <c r="D55" s="235"/>
      <c r="E55" s="235"/>
      <c r="F55" s="235"/>
      <c r="G55" s="235"/>
      <c r="H55" s="235"/>
      <c r="I55" s="235"/>
      <c r="J55" s="241"/>
      <c r="K55" s="241"/>
      <c r="L55" s="241"/>
      <c r="M55" s="241"/>
      <c r="N55" s="324"/>
      <c r="O55" s="325"/>
      <c r="Q55" s="208"/>
    </row>
    <row r="56" spans="1:17">
      <c r="A56" s="323" t="s">
        <v>5637</v>
      </c>
      <c r="B56" s="329" t="s">
        <v>5681</v>
      </c>
      <c r="C56" s="332"/>
      <c r="D56" s="235"/>
      <c r="E56" s="235"/>
      <c r="F56" s="235"/>
      <c r="G56" s="235"/>
      <c r="H56" s="240"/>
      <c r="I56" s="240"/>
      <c r="J56" s="240"/>
      <c r="K56" s="240"/>
      <c r="L56" s="240"/>
      <c r="M56" s="240"/>
      <c r="N56" s="324">
        <f>SUM(D58:M58)</f>
        <v>0</v>
      </c>
      <c r="O56" s="325"/>
      <c r="Q56" s="208"/>
    </row>
    <row r="57" spans="1:17">
      <c r="A57" s="323"/>
      <c r="B57" s="330"/>
      <c r="C57" s="332"/>
      <c r="D57" s="235"/>
      <c r="E57" s="235"/>
      <c r="F57" s="235"/>
      <c r="G57" s="235"/>
      <c r="H57" s="239"/>
      <c r="I57" s="239"/>
      <c r="J57" s="239"/>
      <c r="K57" s="239"/>
      <c r="L57" s="235"/>
      <c r="M57" s="235"/>
      <c r="N57" s="324"/>
      <c r="O57" s="325"/>
      <c r="Q57" s="208"/>
    </row>
    <row r="58" spans="1:17">
      <c r="A58" s="323"/>
      <c r="B58" s="331"/>
      <c r="C58" s="332"/>
      <c r="D58" s="235"/>
      <c r="E58" s="235"/>
      <c r="F58" s="235"/>
      <c r="G58" s="235"/>
      <c r="H58" s="241"/>
      <c r="I58" s="241"/>
      <c r="J58" s="241"/>
      <c r="K58" s="241"/>
      <c r="L58" s="241"/>
      <c r="M58" s="241"/>
      <c r="N58" s="324"/>
      <c r="O58" s="325"/>
      <c r="Q58" s="208"/>
    </row>
    <row r="59" spans="1:17">
      <c r="A59" s="323" t="s">
        <v>5638</v>
      </c>
      <c r="B59" s="329" t="s">
        <v>5682</v>
      </c>
      <c r="C59" s="332"/>
      <c r="D59" s="235"/>
      <c r="E59" s="235"/>
      <c r="F59" s="235"/>
      <c r="G59" s="235"/>
      <c r="H59" s="240"/>
      <c r="I59" s="240"/>
      <c r="J59" s="240"/>
      <c r="K59" s="240"/>
      <c r="L59" s="235"/>
      <c r="M59" s="235"/>
      <c r="N59" s="324">
        <f>SUM(D61:M61)</f>
        <v>0</v>
      </c>
      <c r="O59" s="325"/>
      <c r="Q59" s="208"/>
    </row>
    <row r="60" spans="1:17">
      <c r="A60" s="323"/>
      <c r="B60" s="330"/>
      <c r="C60" s="332"/>
      <c r="D60" s="235"/>
      <c r="E60" s="235"/>
      <c r="F60" s="235"/>
      <c r="G60" s="235"/>
      <c r="H60" s="239"/>
      <c r="I60" s="239"/>
      <c r="J60" s="239"/>
      <c r="K60" s="235"/>
      <c r="L60" s="235"/>
      <c r="M60" s="235"/>
      <c r="N60" s="324"/>
      <c r="O60" s="325"/>
      <c r="Q60" s="208"/>
    </row>
    <row r="61" spans="1:17">
      <c r="A61" s="323"/>
      <c r="B61" s="331"/>
      <c r="C61" s="332"/>
      <c r="D61" s="235"/>
      <c r="E61" s="235"/>
      <c r="F61" s="235"/>
      <c r="G61" s="235"/>
      <c r="H61" s="241"/>
      <c r="I61" s="241"/>
      <c r="J61" s="241"/>
      <c r="K61" s="241"/>
      <c r="L61" s="235"/>
      <c r="M61" s="235"/>
      <c r="N61" s="324"/>
      <c r="O61" s="325"/>
      <c r="Q61" s="208"/>
    </row>
    <row r="62" spans="1:17">
      <c r="A62" s="323" t="s">
        <v>5644</v>
      </c>
      <c r="B62" s="329" t="s">
        <v>2022</v>
      </c>
      <c r="C62" s="332"/>
      <c r="D62" s="235"/>
      <c r="E62" s="235"/>
      <c r="F62" s="235"/>
      <c r="G62" s="235"/>
      <c r="H62" s="235"/>
      <c r="I62" s="235"/>
      <c r="J62" s="235"/>
      <c r="K62" s="235"/>
      <c r="L62" s="240"/>
      <c r="M62" s="240"/>
      <c r="N62" s="324">
        <f>SUM(D64:M64)</f>
        <v>0</v>
      </c>
      <c r="O62" s="325"/>
      <c r="Q62" s="208"/>
    </row>
    <row r="63" spans="1:17">
      <c r="A63" s="323"/>
      <c r="B63" s="330"/>
      <c r="C63" s="332"/>
      <c r="D63" s="235"/>
      <c r="E63" s="235"/>
      <c r="F63" s="235"/>
      <c r="G63" s="235"/>
      <c r="H63" s="235"/>
      <c r="I63" s="235"/>
      <c r="J63" s="235"/>
      <c r="K63" s="235"/>
      <c r="L63" s="239"/>
      <c r="M63" s="240"/>
      <c r="N63" s="324"/>
      <c r="O63" s="325"/>
      <c r="Q63" s="208"/>
    </row>
    <row r="64" spans="1:17">
      <c r="A64" s="323"/>
      <c r="B64" s="331"/>
      <c r="C64" s="332"/>
      <c r="D64" s="235"/>
      <c r="E64" s="235"/>
      <c r="F64" s="235"/>
      <c r="G64" s="235"/>
      <c r="H64" s="235"/>
      <c r="I64" s="235"/>
      <c r="J64" s="235"/>
      <c r="K64" s="235"/>
      <c r="L64" s="241"/>
      <c r="M64" s="240"/>
      <c r="N64" s="324"/>
      <c r="O64" s="325"/>
      <c r="Q64" s="208"/>
    </row>
    <row r="65" spans="1:17">
      <c r="A65" s="323" t="s">
        <v>5639</v>
      </c>
      <c r="B65" s="329" t="s">
        <v>5683</v>
      </c>
      <c r="C65" s="332"/>
      <c r="D65" s="235"/>
      <c r="E65" s="235"/>
      <c r="F65" s="235"/>
      <c r="G65" s="235"/>
      <c r="H65" s="235"/>
      <c r="I65" s="235"/>
      <c r="J65" s="240"/>
      <c r="K65" s="240"/>
      <c r="L65" s="235"/>
      <c r="M65" s="240"/>
      <c r="N65" s="324">
        <f>SUM(D67:M67)</f>
        <v>0</v>
      </c>
      <c r="O65" s="325"/>
      <c r="Q65" s="208"/>
    </row>
    <row r="66" spans="1:17">
      <c r="A66" s="323"/>
      <c r="B66" s="330"/>
      <c r="C66" s="332"/>
      <c r="D66" s="235"/>
      <c r="E66" s="235"/>
      <c r="F66" s="235"/>
      <c r="G66" s="235"/>
      <c r="H66" s="235"/>
      <c r="I66" s="235"/>
      <c r="J66" s="239"/>
      <c r="K66" s="239"/>
      <c r="L66" s="235"/>
      <c r="M66" s="240"/>
      <c r="N66" s="324"/>
      <c r="O66" s="325"/>
      <c r="Q66" s="208"/>
    </row>
    <row r="67" spans="1:17">
      <c r="A67" s="323"/>
      <c r="B67" s="331"/>
      <c r="C67" s="332"/>
      <c r="D67" s="235"/>
      <c r="E67" s="235"/>
      <c r="F67" s="235"/>
      <c r="G67" s="235"/>
      <c r="H67" s="235"/>
      <c r="I67" s="235"/>
      <c r="J67" s="241"/>
      <c r="K67" s="241"/>
      <c r="L67" s="235"/>
      <c r="M67" s="240"/>
      <c r="N67" s="324"/>
      <c r="O67" s="325"/>
      <c r="Q67" s="208"/>
    </row>
    <row r="68" spans="1:17" ht="20.25">
      <c r="A68" s="283">
        <v>6</v>
      </c>
      <c r="B68" s="79" t="s">
        <v>5684</v>
      </c>
      <c r="C68" s="176">
        <f>SUM(C69:C113)</f>
        <v>0</v>
      </c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284">
        <f>SUM(N69:N113)</f>
        <v>0</v>
      </c>
      <c r="Q68" s="208"/>
    </row>
    <row r="69" spans="1:17">
      <c r="A69" s="323" t="s">
        <v>3569</v>
      </c>
      <c r="B69" s="317" t="s">
        <v>1965</v>
      </c>
      <c r="C69" s="318"/>
      <c r="D69" s="235"/>
      <c r="E69" s="240"/>
      <c r="F69" s="240"/>
      <c r="G69" s="235"/>
      <c r="H69" s="235"/>
      <c r="I69" s="235"/>
      <c r="J69" s="235"/>
      <c r="K69" s="235"/>
      <c r="L69" s="235"/>
      <c r="M69" s="235"/>
      <c r="N69" s="324">
        <f>SUM(D71:M71)</f>
        <v>0</v>
      </c>
      <c r="O69" s="325"/>
      <c r="Q69" s="208"/>
    </row>
    <row r="70" spans="1:17">
      <c r="A70" s="323"/>
      <c r="B70" s="317"/>
      <c r="C70" s="318"/>
      <c r="D70" s="235"/>
      <c r="E70" s="235"/>
      <c r="F70" s="239"/>
      <c r="G70" s="235"/>
      <c r="H70" s="235"/>
      <c r="I70" s="235"/>
      <c r="J70" s="235"/>
      <c r="K70" s="235"/>
      <c r="L70" s="235"/>
      <c r="M70" s="235"/>
      <c r="N70" s="324"/>
      <c r="O70" s="325"/>
      <c r="Q70" s="208"/>
    </row>
    <row r="71" spans="1:17">
      <c r="A71" s="323"/>
      <c r="B71" s="317"/>
      <c r="C71" s="318"/>
      <c r="D71" s="235"/>
      <c r="E71" s="241"/>
      <c r="F71" s="241"/>
      <c r="G71" s="235"/>
      <c r="H71" s="235"/>
      <c r="I71" s="235"/>
      <c r="J71" s="235"/>
      <c r="K71" s="235"/>
      <c r="L71" s="235"/>
      <c r="M71" s="235"/>
      <c r="N71" s="324"/>
      <c r="O71" s="325"/>
      <c r="Q71" s="208"/>
    </row>
    <row r="72" spans="1:17">
      <c r="A72" s="323" t="s">
        <v>3592</v>
      </c>
      <c r="B72" s="317" t="s">
        <v>76</v>
      </c>
      <c r="C72" s="318"/>
      <c r="D72" s="235"/>
      <c r="E72" s="235"/>
      <c r="F72" s="240"/>
      <c r="G72" s="240"/>
      <c r="H72" s="235"/>
      <c r="I72" s="235"/>
      <c r="J72" s="235"/>
      <c r="K72" s="235"/>
      <c r="L72" s="235"/>
      <c r="M72" s="235"/>
      <c r="N72" s="324">
        <f>SUM(D74:M74)</f>
        <v>0</v>
      </c>
      <c r="O72" s="325"/>
      <c r="Q72" s="208"/>
    </row>
    <row r="73" spans="1:17">
      <c r="A73" s="323"/>
      <c r="B73" s="317"/>
      <c r="C73" s="319"/>
      <c r="D73" s="235"/>
      <c r="E73" s="235"/>
      <c r="F73" s="239"/>
      <c r="G73" s="239"/>
      <c r="H73" s="235"/>
      <c r="I73" s="235"/>
      <c r="J73" s="235"/>
      <c r="K73" s="235"/>
      <c r="L73" s="235"/>
      <c r="M73" s="235"/>
      <c r="N73" s="324"/>
      <c r="O73" s="325"/>
      <c r="Q73" s="208"/>
    </row>
    <row r="74" spans="1:17">
      <c r="A74" s="323"/>
      <c r="B74" s="317"/>
      <c r="C74" s="319"/>
      <c r="D74" s="235"/>
      <c r="E74" s="235"/>
      <c r="F74" s="241"/>
      <c r="G74" s="241"/>
      <c r="H74" s="241"/>
      <c r="I74" s="241"/>
      <c r="J74" s="241"/>
      <c r="K74" s="241"/>
      <c r="L74" s="241"/>
      <c r="M74" s="241"/>
      <c r="N74" s="324"/>
      <c r="O74" s="325"/>
      <c r="Q74" s="208"/>
    </row>
    <row r="75" spans="1:17">
      <c r="A75" s="323" t="s">
        <v>3606</v>
      </c>
      <c r="B75" s="317" t="s">
        <v>5685</v>
      </c>
      <c r="C75" s="318"/>
      <c r="D75" s="235"/>
      <c r="E75" s="235"/>
      <c r="F75" s="235"/>
      <c r="G75" s="240"/>
      <c r="H75" s="240"/>
      <c r="I75" s="240"/>
      <c r="J75" s="240"/>
      <c r="K75" s="235"/>
      <c r="L75" s="235"/>
      <c r="M75" s="235"/>
      <c r="N75" s="324">
        <f>SUM(D77:M77)</f>
        <v>0</v>
      </c>
      <c r="O75" s="325"/>
      <c r="Q75" s="208"/>
    </row>
    <row r="76" spans="1:17">
      <c r="A76" s="323"/>
      <c r="B76" s="317"/>
      <c r="C76" s="319"/>
      <c r="D76" s="235"/>
      <c r="E76" s="235"/>
      <c r="F76" s="235"/>
      <c r="G76" s="239"/>
      <c r="H76" s="239"/>
      <c r="I76" s="235"/>
      <c r="J76" s="235"/>
      <c r="K76" s="235"/>
      <c r="L76" s="235"/>
      <c r="M76" s="235"/>
      <c r="N76" s="324"/>
      <c r="O76" s="325"/>
      <c r="Q76" s="208"/>
    </row>
    <row r="77" spans="1:17">
      <c r="A77" s="323"/>
      <c r="B77" s="317"/>
      <c r="C77" s="319"/>
      <c r="D77" s="235"/>
      <c r="E77" s="235"/>
      <c r="F77" s="235"/>
      <c r="G77" s="241"/>
      <c r="H77" s="241"/>
      <c r="I77" s="241"/>
      <c r="J77" s="241"/>
      <c r="K77" s="235"/>
      <c r="L77" s="235"/>
      <c r="M77" s="235"/>
      <c r="N77" s="324"/>
      <c r="O77" s="325"/>
      <c r="Q77" s="208"/>
    </row>
    <row r="78" spans="1:17">
      <c r="A78" s="323" t="s">
        <v>3644</v>
      </c>
      <c r="B78" s="317" t="s">
        <v>158</v>
      </c>
      <c r="C78" s="318"/>
      <c r="D78" s="235"/>
      <c r="E78" s="235"/>
      <c r="F78" s="235"/>
      <c r="G78" s="235"/>
      <c r="H78" s="240"/>
      <c r="I78" s="240"/>
      <c r="J78" s="240"/>
      <c r="K78" s="235"/>
      <c r="L78" s="235"/>
      <c r="M78" s="235"/>
      <c r="N78" s="324">
        <f>SUM(D80:M80)</f>
        <v>0</v>
      </c>
      <c r="O78" s="325"/>
      <c r="Q78" s="208"/>
    </row>
    <row r="79" spans="1:17">
      <c r="A79" s="323"/>
      <c r="B79" s="317"/>
      <c r="C79" s="319"/>
      <c r="D79" s="235"/>
      <c r="E79" s="235"/>
      <c r="F79" s="235"/>
      <c r="G79" s="235"/>
      <c r="H79" s="239"/>
      <c r="I79" s="239"/>
      <c r="J79" s="235"/>
      <c r="K79" s="235"/>
      <c r="L79" s="235"/>
      <c r="M79" s="235"/>
      <c r="N79" s="324"/>
      <c r="O79" s="325"/>
      <c r="Q79" s="208"/>
    </row>
    <row r="80" spans="1:17">
      <c r="A80" s="323"/>
      <c r="B80" s="317"/>
      <c r="C80" s="319"/>
      <c r="D80" s="235"/>
      <c r="E80" s="235"/>
      <c r="F80" s="235"/>
      <c r="G80" s="235"/>
      <c r="H80" s="241"/>
      <c r="I80" s="241"/>
      <c r="J80" s="241"/>
      <c r="K80" s="235"/>
      <c r="L80" s="235"/>
      <c r="M80" s="235"/>
      <c r="N80" s="324"/>
      <c r="O80" s="325"/>
      <c r="Q80" s="208"/>
    </row>
    <row r="81" spans="1:17">
      <c r="A81" s="323" t="s">
        <v>3651</v>
      </c>
      <c r="B81" s="317" t="s">
        <v>190</v>
      </c>
      <c r="C81" s="318"/>
      <c r="D81" s="235"/>
      <c r="E81" s="235"/>
      <c r="F81" s="240"/>
      <c r="G81" s="240"/>
      <c r="H81" s="240"/>
      <c r="I81" s="240"/>
      <c r="J81" s="240"/>
      <c r="K81" s="240"/>
      <c r="L81" s="235"/>
      <c r="M81" s="235"/>
      <c r="N81" s="324">
        <f>SUM(D83:M83)</f>
        <v>0</v>
      </c>
      <c r="O81" s="325"/>
      <c r="Q81" s="208"/>
    </row>
    <row r="82" spans="1:17">
      <c r="A82" s="323"/>
      <c r="B82" s="317"/>
      <c r="C82" s="319"/>
      <c r="D82" s="235"/>
      <c r="E82" s="235"/>
      <c r="F82" s="239"/>
      <c r="G82" s="235"/>
      <c r="H82" s="239"/>
      <c r="I82" s="239"/>
      <c r="J82" s="235"/>
      <c r="K82" s="235"/>
      <c r="L82" s="235"/>
      <c r="M82" s="235"/>
      <c r="N82" s="324"/>
      <c r="O82" s="325"/>
      <c r="Q82" s="208"/>
    </row>
    <row r="83" spans="1:17">
      <c r="A83" s="323"/>
      <c r="B83" s="317"/>
      <c r="C83" s="319"/>
      <c r="D83" s="235"/>
      <c r="E83" s="235"/>
      <c r="F83" s="241"/>
      <c r="G83" s="241"/>
      <c r="H83" s="241"/>
      <c r="I83" s="241"/>
      <c r="J83" s="241"/>
      <c r="K83" s="241"/>
      <c r="L83" s="235"/>
      <c r="M83" s="235"/>
      <c r="N83" s="324"/>
      <c r="O83" s="325"/>
      <c r="Q83" s="208"/>
    </row>
    <row r="84" spans="1:17">
      <c r="A84" s="323" t="s">
        <v>3675</v>
      </c>
      <c r="B84" s="317" t="s">
        <v>204</v>
      </c>
      <c r="C84" s="318"/>
      <c r="D84" s="235"/>
      <c r="E84" s="235"/>
      <c r="F84" s="235"/>
      <c r="G84" s="235"/>
      <c r="H84" s="235"/>
      <c r="I84" s="240"/>
      <c r="J84" s="240"/>
      <c r="K84" s="240"/>
      <c r="L84" s="240"/>
      <c r="M84" s="235"/>
      <c r="N84" s="324">
        <f>SUM(D86:M86)</f>
        <v>0</v>
      </c>
      <c r="O84" s="325"/>
      <c r="Q84" s="208"/>
    </row>
    <row r="85" spans="1:17">
      <c r="A85" s="323"/>
      <c r="B85" s="317"/>
      <c r="C85" s="319"/>
      <c r="D85" s="235"/>
      <c r="E85" s="235"/>
      <c r="F85" s="235"/>
      <c r="G85" s="235"/>
      <c r="H85" s="235"/>
      <c r="I85" s="239"/>
      <c r="J85" s="239"/>
      <c r="K85" s="235"/>
      <c r="L85" s="235"/>
      <c r="M85" s="235"/>
      <c r="N85" s="324"/>
      <c r="O85" s="325"/>
      <c r="Q85" s="208"/>
    </row>
    <row r="86" spans="1:17">
      <c r="A86" s="323"/>
      <c r="B86" s="317"/>
      <c r="C86" s="319"/>
      <c r="D86" s="235"/>
      <c r="E86" s="235"/>
      <c r="F86" s="235"/>
      <c r="G86" s="235"/>
      <c r="H86" s="235"/>
      <c r="I86" s="241"/>
      <c r="J86" s="241"/>
      <c r="K86" s="241"/>
      <c r="L86" s="241"/>
      <c r="M86" s="235"/>
      <c r="N86" s="324"/>
      <c r="O86" s="325"/>
      <c r="Q86" s="208"/>
    </row>
    <row r="87" spans="1:17">
      <c r="A87" s="323" t="s">
        <v>3689</v>
      </c>
      <c r="B87" s="317" t="s">
        <v>257</v>
      </c>
      <c r="C87" s="318"/>
      <c r="D87" s="235"/>
      <c r="E87" s="235"/>
      <c r="F87" s="235"/>
      <c r="G87" s="235"/>
      <c r="H87" s="235"/>
      <c r="I87" s="240"/>
      <c r="J87" s="240"/>
      <c r="K87" s="240"/>
      <c r="L87" s="240"/>
      <c r="M87" s="240"/>
      <c r="N87" s="324">
        <f>SUM(D89:M89)</f>
        <v>0</v>
      </c>
      <c r="O87" s="325"/>
      <c r="Q87" s="208"/>
    </row>
    <row r="88" spans="1:17">
      <c r="A88" s="323"/>
      <c r="B88" s="317"/>
      <c r="C88" s="319"/>
      <c r="D88" s="235"/>
      <c r="E88" s="235"/>
      <c r="F88" s="235"/>
      <c r="G88" s="235"/>
      <c r="H88" s="235"/>
      <c r="I88" s="239"/>
      <c r="J88" s="239"/>
      <c r="K88" s="239"/>
      <c r="L88" s="235"/>
      <c r="M88" s="235"/>
      <c r="N88" s="324"/>
      <c r="O88" s="325"/>
      <c r="Q88" s="208"/>
    </row>
    <row r="89" spans="1:17">
      <c r="A89" s="323"/>
      <c r="B89" s="317"/>
      <c r="C89" s="319"/>
      <c r="D89" s="235"/>
      <c r="E89" s="235"/>
      <c r="F89" s="235"/>
      <c r="G89" s="235"/>
      <c r="H89" s="235"/>
      <c r="I89" s="241"/>
      <c r="J89" s="241"/>
      <c r="K89" s="241"/>
      <c r="L89" s="241"/>
      <c r="M89" s="241"/>
      <c r="N89" s="324"/>
      <c r="O89" s="325"/>
      <c r="Q89" s="208"/>
    </row>
    <row r="90" spans="1:17">
      <c r="A90" s="323" t="s">
        <v>3698</v>
      </c>
      <c r="B90" s="317" t="s">
        <v>294</v>
      </c>
      <c r="C90" s="318"/>
      <c r="D90" s="235"/>
      <c r="E90" s="235"/>
      <c r="F90" s="235"/>
      <c r="G90" s="235"/>
      <c r="H90" s="235"/>
      <c r="I90" s="235"/>
      <c r="J90" s="240"/>
      <c r="K90" s="240"/>
      <c r="L90" s="240"/>
      <c r="M90" s="240"/>
      <c r="N90" s="324">
        <f>SUM(D92:M92)</f>
        <v>0</v>
      </c>
      <c r="O90" s="325"/>
      <c r="Q90" s="208"/>
    </row>
    <row r="91" spans="1:17">
      <c r="A91" s="323"/>
      <c r="B91" s="317"/>
      <c r="C91" s="319"/>
      <c r="D91" s="235"/>
      <c r="E91" s="235"/>
      <c r="F91" s="235"/>
      <c r="G91" s="235"/>
      <c r="H91" s="235"/>
      <c r="I91" s="235"/>
      <c r="J91" s="235"/>
      <c r="K91" s="239"/>
      <c r="L91" s="235"/>
      <c r="M91" s="235"/>
      <c r="N91" s="324"/>
      <c r="O91" s="325"/>
      <c r="Q91" s="208"/>
    </row>
    <row r="92" spans="1:17">
      <c r="A92" s="323"/>
      <c r="B92" s="317"/>
      <c r="C92" s="319"/>
      <c r="D92" s="235"/>
      <c r="E92" s="235"/>
      <c r="F92" s="235"/>
      <c r="G92" s="235"/>
      <c r="H92" s="235"/>
      <c r="I92" s="235"/>
      <c r="J92" s="241"/>
      <c r="K92" s="241"/>
      <c r="L92" s="241"/>
      <c r="M92" s="241"/>
      <c r="N92" s="324"/>
      <c r="O92" s="325"/>
      <c r="Q92" s="208"/>
    </row>
    <row r="93" spans="1:17">
      <c r="A93" s="323" t="s">
        <v>3701</v>
      </c>
      <c r="B93" s="317" t="s">
        <v>302</v>
      </c>
      <c r="C93" s="318"/>
      <c r="D93" s="235"/>
      <c r="E93" s="235"/>
      <c r="F93" s="235"/>
      <c r="G93" s="235"/>
      <c r="H93" s="235"/>
      <c r="I93" s="235"/>
      <c r="J93" s="235"/>
      <c r="K93" s="240"/>
      <c r="L93" s="240"/>
      <c r="M93" s="240"/>
      <c r="N93" s="324">
        <f>SUM(D95:M95)</f>
        <v>0</v>
      </c>
      <c r="O93" s="325"/>
      <c r="Q93" s="208"/>
    </row>
    <row r="94" spans="1:17">
      <c r="A94" s="323"/>
      <c r="B94" s="317"/>
      <c r="C94" s="319"/>
      <c r="D94" s="235"/>
      <c r="E94" s="235"/>
      <c r="F94" s="235"/>
      <c r="G94" s="235"/>
      <c r="H94" s="235"/>
      <c r="I94" s="235"/>
      <c r="J94" s="235"/>
      <c r="K94" s="239"/>
      <c r="L94" s="239"/>
      <c r="M94" s="235"/>
      <c r="N94" s="324"/>
      <c r="O94" s="325"/>
      <c r="Q94" s="208"/>
    </row>
    <row r="95" spans="1:17">
      <c r="A95" s="323"/>
      <c r="B95" s="317"/>
      <c r="C95" s="319"/>
      <c r="D95" s="235"/>
      <c r="E95" s="235"/>
      <c r="F95" s="235"/>
      <c r="G95" s="235"/>
      <c r="H95" s="235"/>
      <c r="I95" s="235"/>
      <c r="J95" s="235"/>
      <c r="K95" s="241"/>
      <c r="L95" s="241"/>
      <c r="M95" s="241"/>
      <c r="N95" s="324"/>
      <c r="O95" s="325"/>
      <c r="Q95" s="208"/>
    </row>
    <row r="96" spans="1:17">
      <c r="A96" s="323" t="s">
        <v>3714</v>
      </c>
      <c r="B96" s="317" t="s">
        <v>349</v>
      </c>
      <c r="C96" s="318"/>
      <c r="D96" s="235"/>
      <c r="E96" s="235"/>
      <c r="F96" s="235"/>
      <c r="G96" s="235"/>
      <c r="H96" s="235"/>
      <c r="I96" s="235"/>
      <c r="J96" s="235"/>
      <c r="K96" s="235"/>
      <c r="L96" s="240"/>
      <c r="M96" s="240"/>
      <c r="N96" s="324">
        <f>SUM(D98:M98)</f>
        <v>0</v>
      </c>
      <c r="O96" s="325"/>
      <c r="Q96" s="208"/>
    </row>
    <row r="97" spans="1:17">
      <c r="A97" s="323"/>
      <c r="B97" s="317"/>
      <c r="C97" s="319"/>
      <c r="D97" s="235"/>
      <c r="E97" s="235"/>
      <c r="F97" s="235"/>
      <c r="G97" s="235"/>
      <c r="H97" s="235"/>
      <c r="I97" s="235"/>
      <c r="J97" s="235"/>
      <c r="K97" s="235"/>
      <c r="L97" s="235"/>
      <c r="M97" s="239"/>
      <c r="N97" s="324"/>
      <c r="O97" s="325"/>
      <c r="Q97" s="208"/>
    </row>
    <row r="98" spans="1:17">
      <c r="A98" s="323"/>
      <c r="B98" s="317"/>
      <c r="C98" s="319"/>
      <c r="D98" s="235"/>
      <c r="E98" s="235"/>
      <c r="F98" s="235"/>
      <c r="G98" s="235"/>
      <c r="H98" s="235"/>
      <c r="I98" s="235"/>
      <c r="J98" s="235"/>
      <c r="K98" s="235"/>
      <c r="L98" s="241"/>
      <c r="M98" s="241"/>
      <c r="N98" s="324"/>
      <c r="O98" s="325"/>
      <c r="Q98" s="208"/>
    </row>
    <row r="99" spans="1:17">
      <c r="A99" s="323" t="s">
        <v>3718</v>
      </c>
      <c r="B99" s="317" t="s">
        <v>375</v>
      </c>
      <c r="C99" s="318"/>
      <c r="D99" s="235"/>
      <c r="E99" s="235"/>
      <c r="F99" s="235"/>
      <c r="G99" s="235"/>
      <c r="H99" s="235"/>
      <c r="I99" s="235"/>
      <c r="J99" s="235"/>
      <c r="K99" s="235"/>
      <c r="L99" s="240"/>
      <c r="M99" s="235"/>
      <c r="N99" s="324">
        <f>SUM(D101:M101)</f>
        <v>0</v>
      </c>
      <c r="O99" s="325"/>
      <c r="Q99" s="208"/>
    </row>
    <row r="100" spans="1:17">
      <c r="A100" s="323"/>
      <c r="B100" s="317"/>
      <c r="C100" s="319"/>
      <c r="D100" s="235"/>
      <c r="E100" s="235"/>
      <c r="F100" s="235"/>
      <c r="G100" s="235"/>
      <c r="H100" s="235"/>
      <c r="I100" s="235"/>
      <c r="J100" s="235"/>
      <c r="K100" s="235"/>
      <c r="L100" s="239"/>
      <c r="M100" s="235"/>
      <c r="N100" s="324"/>
      <c r="O100" s="325"/>
      <c r="Q100" s="208"/>
    </row>
    <row r="101" spans="1:17">
      <c r="A101" s="323"/>
      <c r="B101" s="317"/>
      <c r="C101" s="319"/>
      <c r="D101" s="235"/>
      <c r="E101" s="235"/>
      <c r="F101" s="235"/>
      <c r="G101" s="235"/>
      <c r="H101" s="235"/>
      <c r="I101" s="235"/>
      <c r="J101" s="235"/>
      <c r="K101" s="235"/>
      <c r="L101" s="241"/>
      <c r="M101" s="235"/>
      <c r="N101" s="324"/>
      <c r="O101" s="325"/>
      <c r="Q101" s="208"/>
    </row>
    <row r="102" spans="1:17">
      <c r="A102" s="323" t="s">
        <v>3878</v>
      </c>
      <c r="B102" s="317" t="s">
        <v>5686</v>
      </c>
      <c r="C102" s="318"/>
      <c r="D102" s="235"/>
      <c r="E102" s="235"/>
      <c r="F102" s="235"/>
      <c r="G102" s="235"/>
      <c r="H102" s="240"/>
      <c r="I102" s="240"/>
      <c r="J102" s="240"/>
      <c r="K102" s="240"/>
      <c r="L102" s="240"/>
      <c r="M102" s="240"/>
      <c r="N102" s="324">
        <f>SUM(D104:M104)</f>
        <v>0</v>
      </c>
      <c r="O102" s="325"/>
      <c r="Q102" s="208"/>
    </row>
    <row r="103" spans="1:17">
      <c r="A103" s="323"/>
      <c r="B103" s="317"/>
      <c r="C103" s="319"/>
      <c r="D103" s="235"/>
      <c r="E103" s="235"/>
      <c r="F103" s="235"/>
      <c r="G103" s="235"/>
      <c r="H103" s="239"/>
      <c r="I103" s="239"/>
      <c r="J103" s="239"/>
      <c r="K103" s="235"/>
      <c r="L103" s="235"/>
      <c r="M103" s="235"/>
      <c r="N103" s="324"/>
      <c r="O103" s="325"/>
      <c r="Q103" s="208"/>
    </row>
    <row r="104" spans="1:17">
      <c r="A104" s="323"/>
      <c r="B104" s="317"/>
      <c r="C104" s="319"/>
      <c r="D104" s="235"/>
      <c r="E104" s="235"/>
      <c r="F104" s="235"/>
      <c r="G104" s="235"/>
      <c r="H104" s="241"/>
      <c r="I104" s="241"/>
      <c r="J104" s="241"/>
      <c r="K104" s="241"/>
      <c r="L104" s="241"/>
      <c r="M104" s="241"/>
      <c r="N104" s="324"/>
      <c r="O104" s="325"/>
      <c r="Q104" s="208"/>
    </row>
    <row r="105" spans="1:17">
      <c r="A105" s="323" t="s">
        <v>3957</v>
      </c>
      <c r="B105" s="317" t="s">
        <v>2022</v>
      </c>
      <c r="C105" s="318"/>
      <c r="D105" s="235"/>
      <c r="E105" s="235"/>
      <c r="F105" s="235"/>
      <c r="G105" s="235"/>
      <c r="H105" s="235"/>
      <c r="I105" s="235"/>
      <c r="J105" s="235"/>
      <c r="K105" s="235"/>
      <c r="L105" s="235"/>
      <c r="M105" s="240"/>
      <c r="N105" s="324">
        <f>SUM(D107:M107)</f>
        <v>0</v>
      </c>
      <c r="O105" s="325"/>
      <c r="Q105" s="208"/>
    </row>
    <row r="106" spans="1:17">
      <c r="A106" s="323"/>
      <c r="B106" s="317"/>
      <c r="C106" s="319"/>
      <c r="D106" s="235"/>
      <c r="E106" s="235"/>
      <c r="F106" s="235"/>
      <c r="G106" s="235"/>
      <c r="H106" s="235"/>
      <c r="I106" s="235"/>
      <c r="J106" s="235"/>
      <c r="K106" s="235"/>
      <c r="L106" s="235"/>
      <c r="M106" s="239"/>
      <c r="N106" s="324"/>
      <c r="O106" s="325"/>
      <c r="Q106" s="208"/>
    </row>
    <row r="107" spans="1:17">
      <c r="A107" s="323"/>
      <c r="B107" s="317"/>
      <c r="C107" s="319"/>
      <c r="D107" s="235"/>
      <c r="E107" s="235"/>
      <c r="F107" s="235"/>
      <c r="G107" s="235"/>
      <c r="H107" s="235"/>
      <c r="I107" s="235"/>
      <c r="J107" s="235"/>
      <c r="K107" s="235"/>
      <c r="L107" s="235"/>
      <c r="M107" s="241"/>
      <c r="N107" s="324"/>
      <c r="O107" s="325"/>
      <c r="Q107" s="208"/>
    </row>
    <row r="108" spans="1:17">
      <c r="A108" s="323" t="s">
        <v>3966</v>
      </c>
      <c r="B108" s="317" t="s">
        <v>1166</v>
      </c>
      <c r="C108" s="318"/>
      <c r="D108" s="235"/>
      <c r="E108" s="235"/>
      <c r="F108" s="235"/>
      <c r="G108" s="235"/>
      <c r="H108" s="235"/>
      <c r="I108" s="235"/>
      <c r="J108" s="235"/>
      <c r="K108" s="235"/>
      <c r="L108" s="235"/>
      <c r="M108" s="240"/>
      <c r="N108" s="324">
        <f>SUM(D110:M110)</f>
        <v>0</v>
      </c>
      <c r="O108" s="325"/>
      <c r="Q108" s="208"/>
    </row>
    <row r="109" spans="1:17">
      <c r="A109" s="323"/>
      <c r="B109" s="317"/>
      <c r="C109" s="319"/>
      <c r="D109" s="235"/>
      <c r="E109" s="235"/>
      <c r="F109" s="235"/>
      <c r="G109" s="235"/>
      <c r="H109" s="235"/>
      <c r="I109" s="235"/>
      <c r="J109" s="235"/>
      <c r="K109" s="235"/>
      <c r="L109" s="235"/>
      <c r="M109" s="239"/>
      <c r="N109" s="324"/>
      <c r="O109" s="325"/>
      <c r="Q109" s="208"/>
    </row>
    <row r="110" spans="1:17">
      <c r="A110" s="323"/>
      <c r="B110" s="317"/>
      <c r="C110" s="319"/>
      <c r="D110" s="235"/>
      <c r="E110" s="235"/>
      <c r="F110" s="235"/>
      <c r="G110" s="235"/>
      <c r="H110" s="235"/>
      <c r="I110" s="235"/>
      <c r="J110" s="235"/>
      <c r="K110" s="235"/>
      <c r="L110" s="235"/>
      <c r="M110" s="241"/>
      <c r="N110" s="324"/>
      <c r="O110" s="325"/>
      <c r="Q110" s="208"/>
    </row>
    <row r="111" spans="1:17">
      <c r="A111" s="323" t="s">
        <v>4013</v>
      </c>
      <c r="B111" s="317" t="s">
        <v>1226</v>
      </c>
      <c r="C111" s="318"/>
      <c r="D111" s="235"/>
      <c r="E111" s="235"/>
      <c r="F111" s="235"/>
      <c r="G111" s="235"/>
      <c r="H111" s="235"/>
      <c r="I111" s="240"/>
      <c r="J111" s="240"/>
      <c r="K111" s="240"/>
      <c r="L111" s="240"/>
      <c r="M111" s="235"/>
      <c r="N111" s="324">
        <f>SUM(D113:M113)</f>
        <v>0</v>
      </c>
      <c r="O111" s="325"/>
      <c r="Q111" s="208"/>
    </row>
    <row r="112" spans="1:17">
      <c r="A112" s="323"/>
      <c r="B112" s="317"/>
      <c r="C112" s="318"/>
      <c r="D112" s="235"/>
      <c r="E112" s="235"/>
      <c r="F112" s="235"/>
      <c r="G112" s="235"/>
      <c r="H112" s="235"/>
      <c r="I112" s="235"/>
      <c r="J112" s="235"/>
      <c r="K112" s="239"/>
      <c r="L112" s="239"/>
      <c r="M112" s="235"/>
      <c r="N112" s="324"/>
      <c r="O112" s="325"/>
      <c r="Q112" s="208"/>
    </row>
    <row r="113" spans="1:17">
      <c r="A113" s="323"/>
      <c r="B113" s="317"/>
      <c r="C113" s="318"/>
      <c r="D113" s="235"/>
      <c r="E113" s="235"/>
      <c r="F113" s="235"/>
      <c r="G113" s="235"/>
      <c r="H113" s="235"/>
      <c r="I113" s="241"/>
      <c r="J113" s="241"/>
      <c r="K113" s="241"/>
      <c r="L113" s="241"/>
      <c r="M113" s="235"/>
      <c r="N113" s="324"/>
      <c r="O113" s="325"/>
      <c r="Q113" s="208"/>
    </row>
    <row r="114" spans="1:17" ht="20.25">
      <c r="A114" s="283">
        <v>7</v>
      </c>
      <c r="B114" s="79" t="s">
        <v>17</v>
      </c>
      <c r="C114" s="176">
        <f>SUM(C115:C156)</f>
        <v>0</v>
      </c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284">
        <f>SUM(N115:N156)</f>
        <v>0</v>
      </c>
      <c r="Q114" s="208"/>
    </row>
    <row r="115" spans="1:17">
      <c r="A115" s="323" t="s">
        <v>4052</v>
      </c>
      <c r="B115" s="317" t="s">
        <v>1965</v>
      </c>
      <c r="C115" s="318"/>
      <c r="D115" s="235"/>
      <c r="E115" s="240"/>
      <c r="F115" s="240"/>
      <c r="G115" s="235"/>
      <c r="H115" s="235"/>
      <c r="I115" s="235"/>
      <c r="J115" s="235"/>
      <c r="K115" s="235"/>
      <c r="L115" s="235"/>
      <c r="M115" s="235"/>
      <c r="N115" s="324">
        <f>SUM(D117:M117)</f>
        <v>0</v>
      </c>
      <c r="O115" s="325"/>
      <c r="Q115" s="208"/>
    </row>
    <row r="116" spans="1:17">
      <c r="A116" s="323"/>
      <c r="B116" s="317"/>
      <c r="C116" s="318"/>
      <c r="D116" s="235"/>
      <c r="E116" s="235"/>
      <c r="F116" s="239"/>
      <c r="G116" s="235"/>
      <c r="H116" s="235"/>
      <c r="I116" s="235"/>
      <c r="J116" s="235"/>
      <c r="K116" s="235"/>
      <c r="L116" s="235"/>
      <c r="M116" s="235"/>
      <c r="N116" s="324"/>
      <c r="O116" s="325"/>
      <c r="Q116" s="208"/>
    </row>
    <row r="117" spans="1:17">
      <c r="A117" s="323"/>
      <c r="B117" s="317"/>
      <c r="C117" s="318"/>
      <c r="D117" s="235"/>
      <c r="E117" s="241"/>
      <c r="F117" s="241"/>
      <c r="G117" s="235"/>
      <c r="H117" s="235"/>
      <c r="I117" s="235"/>
      <c r="J117" s="235"/>
      <c r="K117" s="235"/>
      <c r="L117" s="235"/>
      <c r="M117" s="235"/>
      <c r="N117" s="324"/>
      <c r="O117" s="325"/>
      <c r="Q117" s="208"/>
    </row>
    <row r="118" spans="1:17">
      <c r="A118" s="323" t="s">
        <v>4074</v>
      </c>
      <c r="B118" s="317" t="s">
        <v>76</v>
      </c>
      <c r="C118" s="318"/>
      <c r="D118" s="235"/>
      <c r="E118" s="235"/>
      <c r="F118" s="240"/>
      <c r="G118" s="240"/>
      <c r="H118" s="235"/>
      <c r="I118" s="235"/>
      <c r="J118" s="235"/>
      <c r="K118" s="235"/>
      <c r="L118" s="235"/>
      <c r="M118" s="235"/>
      <c r="N118" s="324">
        <f>SUM(D120:M120)</f>
        <v>0</v>
      </c>
      <c r="O118" s="325"/>
      <c r="Q118" s="208"/>
    </row>
    <row r="119" spans="1:17">
      <c r="A119" s="323"/>
      <c r="B119" s="317"/>
      <c r="C119" s="319"/>
      <c r="D119" s="235"/>
      <c r="E119" s="235"/>
      <c r="F119" s="239"/>
      <c r="G119" s="239"/>
      <c r="H119" s="235"/>
      <c r="I119" s="235"/>
      <c r="J119" s="235"/>
      <c r="K119" s="235"/>
      <c r="L119" s="235"/>
      <c r="M119" s="235"/>
      <c r="N119" s="324"/>
      <c r="O119" s="325"/>
      <c r="Q119" s="208"/>
    </row>
    <row r="120" spans="1:17">
      <c r="A120" s="323"/>
      <c r="B120" s="317"/>
      <c r="C120" s="319"/>
      <c r="D120" s="235"/>
      <c r="E120" s="235"/>
      <c r="F120" s="241"/>
      <c r="G120" s="241"/>
      <c r="H120" s="241"/>
      <c r="I120" s="241"/>
      <c r="J120" s="241"/>
      <c r="K120" s="241"/>
      <c r="L120" s="241"/>
      <c r="M120" s="241"/>
      <c r="N120" s="324"/>
      <c r="O120" s="325"/>
      <c r="Q120" s="208"/>
    </row>
    <row r="121" spans="1:17">
      <c r="A121" s="323" t="s">
        <v>4093</v>
      </c>
      <c r="B121" s="317" t="s">
        <v>134</v>
      </c>
      <c r="C121" s="318"/>
      <c r="D121" s="235"/>
      <c r="E121" s="235"/>
      <c r="F121" s="235"/>
      <c r="G121" s="240"/>
      <c r="H121" s="240"/>
      <c r="I121" s="240"/>
      <c r="J121" s="240"/>
      <c r="K121" s="235"/>
      <c r="L121" s="235"/>
      <c r="M121" s="235"/>
      <c r="N121" s="324">
        <f>SUM(D123:M123)</f>
        <v>0</v>
      </c>
      <c r="O121" s="325"/>
      <c r="Q121" s="208"/>
    </row>
    <row r="122" spans="1:17">
      <c r="A122" s="323"/>
      <c r="B122" s="317"/>
      <c r="C122" s="319"/>
      <c r="D122" s="235"/>
      <c r="E122" s="235"/>
      <c r="F122" s="235"/>
      <c r="G122" s="239"/>
      <c r="H122" s="239"/>
      <c r="I122" s="235"/>
      <c r="J122" s="235"/>
      <c r="K122" s="235"/>
      <c r="L122" s="235"/>
      <c r="M122" s="235"/>
      <c r="N122" s="324"/>
      <c r="O122" s="325"/>
      <c r="Q122" s="208"/>
    </row>
    <row r="123" spans="1:17">
      <c r="A123" s="323"/>
      <c r="B123" s="317"/>
      <c r="C123" s="319"/>
      <c r="D123" s="235"/>
      <c r="E123" s="235"/>
      <c r="F123" s="235"/>
      <c r="G123" s="241"/>
      <c r="H123" s="241"/>
      <c r="I123" s="241"/>
      <c r="J123" s="241"/>
      <c r="K123" s="235"/>
      <c r="L123" s="235"/>
      <c r="M123" s="235"/>
      <c r="N123" s="324"/>
      <c r="O123" s="325"/>
      <c r="Q123" s="208"/>
    </row>
    <row r="124" spans="1:17">
      <c r="A124" s="323" t="s">
        <v>4108</v>
      </c>
      <c r="B124" s="317" t="s">
        <v>158</v>
      </c>
      <c r="C124" s="318"/>
      <c r="D124" s="235"/>
      <c r="E124" s="235"/>
      <c r="F124" s="235"/>
      <c r="G124" s="235"/>
      <c r="H124" s="240"/>
      <c r="I124" s="240"/>
      <c r="J124" s="240"/>
      <c r="K124" s="235"/>
      <c r="L124" s="235"/>
      <c r="M124" s="235"/>
      <c r="N124" s="324">
        <f>SUM(D126:M126)</f>
        <v>0</v>
      </c>
      <c r="O124" s="325"/>
      <c r="Q124" s="208"/>
    </row>
    <row r="125" spans="1:17">
      <c r="A125" s="323"/>
      <c r="B125" s="317"/>
      <c r="C125" s="319"/>
      <c r="D125" s="235"/>
      <c r="E125" s="235"/>
      <c r="F125" s="235"/>
      <c r="G125" s="235"/>
      <c r="H125" s="239"/>
      <c r="I125" s="239"/>
      <c r="J125" s="235"/>
      <c r="K125" s="235"/>
      <c r="L125" s="235"/>
      <c r="M125" s="235"/>
      <c r="N125" s="324"/>
      <c r="O125" s="325"/>
      <c r="Q125" s="208"/>
    </row>
    <row r="126" spans="1:17">
      <c r="A126" s="323"/>
      <c r="B126" s="317"/>
      <c r="C126" s="319"/>
      <c r="D126" s="235"/>
      <c r="E126" s="235"/>
      <c r="F126" s="235"/>
      <c r="G126" s="235"/>
      <c r="H126" s="241"/>
      <c r="I126" s="241"/>
      <c r="J126" s="241"/>
      <c r="K126" s="235"/>
      <c r="L126" s="235"/>
      <c r="M126" s="235"/>
      <c r="N126" s="324"/>
      <c r="O126" s="325"/>
      <c r="Q126" s="208"/>
    </row>
    <row r="127" spans="1:17">
      <c r="A127" s="323" t="s">
        <v>4115</v>
      </c>
      <c r="B127" s="317" t="s">
        <v>190</v>
      </c>
      <c r="C127" s="318"/>
      <c r="D127" s="235"/>
      <c r="E127" s="235"/>
      <c r="F127" s="240"/>
      <c r="G127" s="240"/>
      <c r="H127" s="240"/>
      <c r="I127" s="240"/>
      <c r="J127" s="240"/>
      <c r="K127" s="240"/>
      <c r="L127" s="235"/>
      <c r="M127" s="235"/>
      <c r="N127" s="324">
        <f>SUM(D129:M129)</f>
        <v>0</v>
      </c>
      <c r="O127" s="325"/>
      <c r="Q127" s="208"/>
    </row>
    <row r="128" spans="1:17">
      <c r="A128" s="323"/>
      <c r="B128" s="317"/>
      <c r="C128" s="319"/>
      <c r="D128" s="235"/>
      <c r="E128" s="235"/>
      <c r="F128" s="239"/>
      <c r="G128" s="235"/>
      <c r="H128" s="239"/>
      <c r="I128" s="239"/>
      <c r="J128" s="235"/>
      <c r="K128" s="235"/>
      <c r="L128" s="235"/>
      <c r="M128" s="235"/>
      <c r="N128" s="324"/>
      <c r="O128" s="325"/>
      <c r="Q128" s="208"/>
    </row>
    <row r="129" spans="1:17">
      <c r="A129" s="323"/>
      <c r="B129" s="317"/>
      <c r="C129" s="319"/>
      <c r="D129" s="235"/>
      <c r="E129" s="235"/>
      <c r="F129" s="241"/>
      <c r="G129" s="241"/>
      <c r="H129" s="241"/>
      <c r="I129" s="241"/>
      <c r="J129" s="241"/>
      <c r="K129" s="241"/>
      <c r="L129" s="235"/>
      <c r="M129" s="235"/>
      <c r="N129" s="324"/>
      <c r="O129" s="325"/>
      <c r="Q129" s="208"/>
    </row>
    <row r="130" spans="1:17">
      <c r="A130" s="323" t="s">
        <v>4130</v>
      </c>
      <c r="B130" s="317" t="s">
        <v>204</v>
      </c>
      <c r="C130" s="318"/>
      <c r="D130" s="235"/>
      <c r="E130" s="235"/>
      <c r="F130" s="235"/>
      <c r="G130" s="235"/>
      <c r="H130" s="235"/>
      <c r="I130" s="240"/>
      <c r="J130" s="240"/>
      <c r="K130" s="240"/>
      <c r="L130" s="240"/>
      <c r="M130" s="235"/>
      <c r="N130" s="324">
        <f>SUM(D132:M132)</f>
        <v>0</v>
      </c>
      <c r="O130" s="325"/>
      <c r="Q130" s="208"/>
    </row>
    <row r="131" spans="1:17">
      <c r="A131" s="323"/>
      <c r="B131" s="317"/>
      <c r="C131" s="319"/>
      <c r="D131" s="235"/>
      <c r="E131" s="235"/>
      <c r="F131" s="235"/>
      <c r="G131" s="235"/>
      <c r="H131" s="235"/>
      <c r="I131" s="239"/>
      <c r="J131" s="239"/>
      <c r="K131" s="235"/>
      <c r="L131" s="235"/>
      <c r="M131" s="235"/>
      <c r="N131" s="324"/>
      <c r="O131" s="325"/>
      <c r="Q131" s="208"/>
    </row>
    <row r="132" spans="1:17">
      <c r="A132" s="323"/>
      <c r="B132" s="317"/>
      <c r="C132" s="319"/>
      <c r="D132" s="235"/>
      <c r="E132" s="235"/>
      <c r="F132" s="235"/>
      <c r="G132" s="235"/>
      <c r="H132" s="235"/>
      <c r="I132" s="241"/>
      <c r="J132" s="241"/>
      <c r="K132" s="241"/>
      <c r="L132" s="241"/>
      <c r="M132" s="235"/>
      <c r="N132" s="324"/>
      <c r="O132" s="325"/>
      <c r="Q132" s="208"/>
    </row>
    <row r="133" spans="1:17">
      <c r="A133" s="323" t="s">
        <v>4142</v>
      </c>
      <c r="B133" s="317" t="s">
        <v>257</v>
      </c>
      <c r="C133" s="318"/>
      <c r="D133" s="235"/>
      <c r="E133" s="235"/>
      <c r="F133" s="235"/>
      <c r="G133" s="235"/>
      <c r="H133" s="235"/>
      <c r="I133" s="240"/>
      <c r="J133" s="240"/>
      <c r="K133" s="240"/>
      <c r="L133" s="240"/>
      <c r="M133" s="240"/>
      <c r="N133" s="324">
        <f>SUM(D135:M135)</f>
        <v>0</v>
      </c>
      <c r="O133" s="325"/>
      <c r="Q133" s="208"/>
    </row>
    <row r="134" spans="1:17">
      <c r="A134" s="323"/>
      <c r="B134" s="317"/>
      <c r="C134" s="319"/>
      <c r="D134" s="235"/>
      <c r="E134" s="235"/>
      <c r="F134" s="235"/>
      <c r="G134" s="235"/>
      <c r="H134" s="235"/>
      <c r="I134" s="239"/>
      <c r="J134" s="239"/>
      <c r="K134" s="239"/>
      <c r="L134" s="235"/>
      <c r="M134" s="235"/>
      <c r="N134" s="324"/>
      <c r="O134" s="325"/>
      <c r="Q134" s="208"/>
    </row>
    <row r="135" spans="1:17">
      <c r="A135" s="323"/>
      <c r="B135" s="317"/>
      <c r="C135" s="319"/>
      <c r="D135" s="235"/>
      <c r="E135" s="235"/>
      <c r="F135" s="235"/>
      <c r="G135" s="235"/>
      <c r="H135" s="235"/>
      <c r="I135" s="241"/>
      <c r="J135" s="241"/>
      <c r="K135" s="241"/>
      <c r="L135" s="241"/>
      <c r="M135" s="241"/>
      <c r="N135" s="324"/>
      <c r="O135" s="325"/>
      <c r="Q135" s="208"/>
    </row>
    <row r="136" spans="1:17">
      <c r="A136" s="323" t="s">
        <v>4149</v>
      </c>
      <c r="B136" s="317" t="s">
        <v>294</v>
      </c>
      <c r="C136" s="318"/>
      <c r="D136" s="235"/>
      <c r="E136" s="235"/>
      <c r="F136" s="235"/>
      <c r="G136" s="235"/>
      <c r="H136" s="235"/>
      <c r="I136" s="235"/>
      <c r="J136" s="240"/>
      <c r="K136" s="240"/>
      <c r="L136" s="240"/>
      <c r="M136" s="240"/>
      <c r="N136" s="324">
        <f>SUM(D138:M138)</f>
        <v>0</v>
      </c>
      <c r="O136" s="325"/>
      <c r="Q136" s="208"/>
    </row>
    <row r="137" spans="1:17">
      <c r="A137" s="323"/>
      <c r="B137" s="317"/>
      <c r="C137" s="319"/>
      <c r="D137" s="235"/>
      <c r="E137" s="235"/>
      <c r="F137" s="235"/>
      <c r="G137" s="235"/>
      <c r="H137" s="235"/>
      <c r="I137" s="235"/>
      <c r="J137" s="235"/>
      <c r="K137" s="239"/>
      <c r="L137" s="235"/>
      <c r="M137" s="235"/>
      <c r="N137" s="324"/>
      <c r="O137" s="325"/>
      <c r="Q137" s="208"/>
    </row>
    <row r="138" spans="1:17">
      <c r="A138" s="323"/>
      <c r="B138" s="317"/>
      <c r="C138" s="319"/>
      <c r="D138" s="235"/>
      <c r="E138" s="235"/>
      <c r="F138" s="235"/>
      <c r="G138" s="235"/>
      <c r="H138" s="235"/>
      <c r="I138" s="235"/>
      <c r="J138" s="241"/>
      <c r="K138" s="241"/>
      <c r="L138" s="241"/>
      <c r="M138" s="241"/>
      <c r="N138" s="324"/>
      <c r="O138" s="325"/>
      <c r="Q138" s="208"/>
    </row>
    <row r="139" spans="1:17">
      <c r="A139" s="323" t="s">
        <v>4151</v>
      </c>
      <c r="B139" s="317" t="s">
        <v>302</v>
      </c>
      <c r="C139" s="318"/>
      <c r="D139" s="235"/>
      <c r="E139" s="235"/>
      <c r="F139" s="235"/>
      <c r="G139" s="235"/>
      <c r="H139" s="235"/>
      <c r="I139" s="235"/>
      <c r="J139" s="235"/>
      <c r="K139" s="240"/>
      <c r="L139" s="240"/>
      <c r="M139" s="240"/>
      <c r="N139" s="324">
        <f>SUM(D141:M141)</f>
        <v>0</v>
      </c>
      <c r="O139" s="325"/>
      <c r="Q139" s="208"/>
    </row>
    <row r="140" spans="1:17">
      <c r="A140" s="323"/>
      <c r="B140" s="317"/>
      <c r="C140" s="319"/>
      <c r="D140" s="235"/>
      <c r="E140" s="235"/>
      <c r="F140" s="235"/>
      <c r="G140" s="235"/>
      <c r="H140" s="235"/>
      <c r="I140" s="235"/>
      <c r="J140" s="235"/>
      <c r="K140" s="239"/>
      <c r="L140" s="239"/>
      <c r="M140" s="235"/>
      <c r="N140" s="324"/>
      <c r="O140" s="325"/>
      <c r="Q140" s="208"/>
    </row>
    <row r="141" spans="1:17">
      <c r="A141" s="323"/>
      <c r="B141" s="317"/>
      <c r="C141" s="319"/>
      <c r="D141" s="235"/>
      <c r="E141" s="235"/>
      <c r="F141" s="235"/>
      <c r="G141" s="235"/>
      <c r="H141" s="235"/>
      <c r="I141" s="235"/>
      <c r="J141" s="235"/>
      <c r="K141" s="241"/>
      <c r="L141" s="241"/>
      <c r="M141" s="241"/>
      <c r="N141" s="324"/>
      <c r="O141" s="325"/>
      <c r="Q141" s="208"/>
    </row>
    <row r="142" spans="1:17">
      <c r="A142" s="323" t="s">
        <v>4159</v>
      </c>
      <c r="B142" s="317" t="s">
        <v>349</v>
      </c>
      <c r="C142" s="318"/>
      <c r="D142" s="235"/>
      <c r="E142" s="235"/>
      <c r="F142" s="235"/>
      <c r="G142" s="235"/>
      <c r="H142" s="235"/>
      <c r="I142" s="235"/>
      <c r="J142" s="235"/>
      <c r="K142" s="235"/>
      <c r="L142" s="240"/>
      <c r="M142" s="240"/>
      <c r="N142" s="324">
        <f>SUM(D144:M144)</f>
        <v>0</v>
      </c>
      <c r="O142" s="325"/>
      <c r="Q142" s="208"/>
    </row>
    <row r="143" spans="1:17">
      <c r="A143" s="323"/>
      <c r="B143" s="317"/>
      <c r="C143" s="319"/>
      <c r="D143" s="235"/>
      <c r="E143" s="235"/>
      <c r="F143" s="235"/>
      <c r="G143" s="235"/>
      <c r="H143" s="235"/>
      <c r="I143" s="235"/>
      <c r="J143" s="235"/>
      <c r="K143" s="235"/>
      <c r="L143" s="235"/>
      <c r="M143" s="239"/>
      <c r="N143" s="324"/>
      <c r="O143" s="325"/>
      <c r="Q143" s="208"/>
    </row>
    <row r="144" spans="1:17">
      <c r="A144" s="323"/>
      <c r="B144" s="317"/>
      <c r="C144" s="319"/>
      <c r="D144" s="235"/>
      <c r="E144" s="235"/>
      <c r="F144" s="235"/>
      <c r="G144" s="235"/>
      <c r="H144" s="235"/>
      <c r="I144" s="235"/>
      <c r="J144" s="235"/>
      <c r="K144" s="235"/>
      <c r="L144" s="241"/>
      <c r="M144" s="241"/>
      <c r="N144" s="324"/>
      <c r="O144" s="325"/>
      <c r="Q144" s="208"/>
    </row>
    <row r="145" spans="1:17" ht="18" customHeight="1">
      <c r="A145" s="323" t="s">
        <v>4168</v>
      </c>
      <c r="B145" s="317" t="s">
        <v>375</v>
      </c>
      <c r="C145" s="326"/>
      <c r="D145" s="235"/>
      <c r="E145" s="235"/>
      <c r="F145" s="235"/>
      <c r="G145" s="235"/>
      <c r="H145" s="235"/>
      <c r="I145" s="235"/>
      <c r="J145" s="235"/>
      <c r="K145" s="235"/>
      <c r="L145" s="240"/>
      <c r="M145" s="235"/>
      <c r="N145" s="324">
        <f>SUM(D147:M147)</f>
        <v>0</v>
      </c>
      <c r="O145" s="325"/>
      <c r="Q145" s="208"/>
    </row>
    <row r="146" spans="1:17" ht="15.6" customHeight="1">
      <c r="A146" s="323"/>
      <c r="B146" s="317"/>
      <c r="C146" s="327"/>
      <c r="D146" s="235"/>
      <c r="E146" s="235"/>
      <c r="F146" s="235"/>
      <c r="G146" s="235"/>
      <c r="H146" s="235"/>
      <c r="I146" s="235"/>
      <c r="J146" s="235"/>
      <c r="K146" s="235"/>
      <c r="L146" s="239"/>
      <c r="M146" s="235"/>
      <c r="N146" s="324"/>
      <c r="O146" s="325"/>
      <c r="Q146" s="208"/>
    </row>
    <row r="147" spans="1:17" ht="15.6" customHeight="1">
      <c r="A147" s="323"/>
      <c r="B147" s="317"/>
      <c r="C147" s="328"/>
      <c r="D147" s="235"/>
      <c r="E147" s="235"/>
      <c r="F147" s="235"/>
      <c r="G147" s="235"/>
      <c r="H147" s="235"/>
      <c r="I147" s="235"/>
      <c r="J147" s="235"/>
      <c r="K147" s="235"/>
      <c r="L147" s="241"/>
      <c r="M147" s="235"/>
      <c r="N147" s="324"/>
      <c r="O147" s="325"/>
      <c r="Q147" s="208"/>
    </row>
    <row r="148" spans="1:17" ht="15.6" customHeight="1">
      <c r="A148" s="323" t="s">
        <v>4229</v>
      </c>
      <c r="B148" s="317" t="s">
        <v>5686</v>
      </c>
      <c r="C148" s="326"/>
      <c r="D148" s="235"/>
      <c r="E148" s="235"/>
      <c r="F148" s="235"/>
      <c r="G148" s="235"/>
      <c r="H148" s="240"/>
      <c r="I148" s="240"/>
      <c r="J148" s="240"/>
      <c r="K148" s="240"/>
      <c r="L148" s="240"/>
      <c r="M148" s="240"/>
      <c r="N148" s="324">
        <f>SUM(D150:M150)</f>
        <v>0</v>
      </c>
      <c r="O148" s="325"/>
      <c r="Q148" s="208"/>
    </row>
    <row r="149" spans="1:17" ht="15.6" customHeight="1">
      <c r="A149" s="323"/>
      <c r="B149" s="317"/>
      <c r="C149" s="327"/>
      <c r="D149" s="235"/>
      <c r="E149" s="235"/>
      <c r="F149" s="235"/>
      <c r="G149" s="235"/>
      <c r="H149" s="239"/>
      <c r="I149" s="239"/>
      <c r="J149" s="239"/>
      <c r="K149" s="235"/>
      <c r="L149" s="235"/>
      <c r="M149" s="235"/>
      <c r="N149" s="324"/>
      <c r="O149" s="325"/>
      <c r="Q149" s="208"/>
    </row>
    <row r="150" spans="1:17" ht="15.6" customHeight="1">
      <c r="A150" s="323"/>
      <c r="B150" s="317"/>
      <c r="C150" s="328"/>
      <c r="D150" s="235"/>
      <c r="E150" s="235"/>
      <c r="F150" s="235"/>
      <c r="G150" s="235"/>
      <c r="H150" s="241"/>
      <c r="I150" s="241"/>
      <c r="J150" s="241"/>
      <c r="K150" s="241"/>
      <c r="L150" s="241"/>
      <c r="M150" s="241"/>
      <c r="N150" s="324"/>
      <c r="O150" s="325"/>
      <c r="Q150" s="208"/>
    </row>
    <row r="151" spans="1:17" ht="15.6" customHeight="1">
      <c r="A151" s="323" t="s">
        <v>4289</v>
      </c>
      <c r="B151" s="317" t="s">
        <v>2022</v>
      </c>
      <c r="C151" s="318"/>
      <c r="D151" s="235"/>
      <c r="E151" s="235"/>
      <c r="F151" s="235"/>
      <c r="G151" s="235"/>
      <c r="H151" s="235"/>
      <c r="I151" s="235"/>
      <c r="J151" s="235"/>
      <c r="K151" s="235"/>
      <c r="L151" s="235"/>
      <c r="M151" s="240"/>
      <c r="N151" s="324">
        <f>SUM(D153:M153)</f>
        <v>0</v>
      </c>
      <c r="O151" s="325"/>
      <c r="Q151" s="208"/>
    </row>
    <row r="152" spans="1:17" ht="15.6" customHeight="1">
      <c r="A152" s="323"/>
      <c r="B152" s="317"/>
      <c r="C152" s="319"/>
      <c r="D152" s="235"/>
      <c r="E152" s="235"/>
      <c r="F152" s="235"/>
      <c r="G152" s="235"/>
      <c r="H152" s="235"/>
      <c r="I152" s="235"/>
      <c r="J152" s="235"/>
      <c r="K152" s="235"/>
      <c r="L152" s="235"/>
      <c r="M152" s="239"/>
      <c r="N152" s="324"/>
      <c r="O152" s="325"/>
      <c r="Q152" s="208"/>
    </row>
    <row r="153" spans="1:17" ht="15.6" customHeight="1">
      <c r="A153" s="323"/>
      <c r="B153" s="317"/>
      <c r="C153" s="319"/>
      <c r="D153" s="235"/>
      <c r="E153" s="235"/>
      <c r="F153" s="235"/>
      <c r="G153" s="235"/>
      <c r="H153" s="235"/>
      <c r="I153" s="235"/>
      <c r="J153" s="235"/>
      <c r="K153" s="235"/>
      <c r="L153" s="235"/>
      <c r="M153" s="241"/>
      <c r="N153" s="324"/>
      <c r="O153" s="325"/>
      <c r="Q153" s="208"/>
    </row>
    <row r="154" spans="1:17">
      <c r="A154" s="323" t="s">
        <v>4296</v>
      </c>
      <c r="B154" s="317" t="s">
        <v>876</v>
      </c>
      <c r="C154" s="318"/>
      <c r="D154" s="235"/>
      <c r="E154" s="235"/>
      <c r="F154" s="235"/>
      <c r="G154" s="235"/>
      <c r="H154" s="235"/>
      <c r="I154" s="235"/>
      <c r="J154" s="235"/>
      <c r="K154" s="235"/>
      <c r="L154" s="235"/>
      <c r="M154" s="240"/>
      <c r="N154" s="324">
        <f>SUM(D156:M156)</f>
        <v>0</v>
      </c>
      <c r="O154" s="325"/>
      <c r="Q154" s="208"/>
    </row>
    <row r="155" spans="1:17">
      <c r="A155" s="323"/>
      <c r="B155" s="317"/>
      <c r="C155" s="319"/>
      <c r="D155" s="235"/>
      <c r="E155" s="235"/>
      <c r="F155" s="235"/>
      <c r="G155" s="235"/>
      <c r="H155" s="235"/>
      <c r="I155" s="235"/>
      <c r="J155" s="235"/>
      <c r="K155" s="235"/>
      <c r="L155" s="235"/>
      <c r="M155" s="239"/>
      <c r="N155" s="324"/>
      <c r="O155" s="325"/>
      <c r="Q155" s="208"/>
    </row>
    <row r="156" spans="1:17">
      <c r="A156" s="323"/>
      <c r="B156" s="317"/>
      <c r="C156" s="319"/>
      <c r="D156" s="235"/>
      <c r="E156" s="235"/>
      <c r="F156" s="235"/>
      <c r="G156" s="235"/>
      <c r="H156" s="235"/>
      <c r="I156" s="235"/>
      <c r="J156" s="235"/>
      <c r="K156" s="235"/>
      <c r="L156" s="235"/>
      <c r="M156" s="241"/>
      <c r="N156" s="324"/>
      <c r="O156" s="325"/>
      <c r="Q156" s="208"/>
    </row>
    <row r="157" spans="1:17" ht="20.25">
      <c r="A157" s="283">
        <v>8</v>
      </c>
      <c r="B157" s="79" t="s">
        <v>18</v>
      </c>
      <c r="C157" s="176">
        <f>SUM(C158:C181)</f>
        <v>0</v>
      </c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284">
        <f>SUM(N158:N181)</f>
        <v>0</v>
      </c>
      <c r="Q157" s="208"/>
    </row>
    <row r="158" spans="1:17">
      <c r="A158" s="323" t="s">
        <v>4423</v>
      </c>
      <c r="B158" s="317" t="s">
        <v>1965</v>
      </c>
      <c r="C158" s="318"/>
      <c r="D158" s="235"/>
      <c r="E158" s="240"/>
      <c r="F158" s="240"/>
      <c r="G158" s="240"/>
      <c r="H158" s="240"/>
      <c r="I158" s="235"/>
      <c r="J158" s="235"/>
      <c r="K158" s="235"/>
      <c r="L158" s="235"/>
      <c r="M158" s="235"/>
      <c r="N158" s="324">
        <f>SUM(D160:M160)</f>
        <v>0</v>
      </c>
      <c r="O158" s="325"/>
      <c r="Q158" s="208"/>
    </row>
    <row r="159" spans="1:17">
      <c r="A159" s="323"/>
      <c r="B159" s="317"/>
      <c r="C159" s="318"/>
      <c r="D159" s="235"/>
      <c r="E159" s="235"/>
      <c r="F159" s="235"/>
      <c r="G159" s="235"/>
      <c r="H159" s="239"/>
      <c r="I159" s="235"/>
      <c r="J159" s="235"/>
      <c r="K159" s="235"/>
      <c r="L159" s="235"/>
      <c r="M159" s="235"/>
      <c r="N159" s="324"/>
      <c r="O159" s="325"/>
      <c r="Q159" s="208"/>
    </row>
    <row r="160" spans="1:17">
      <c r="A160" s="323"/>
      <c r="B160" s="317"/>
      <c r="C160" s="318"/>
      <c r="D160" s="235"/>
      <c r="E160" s="241"/>
      <c r="F160" s="241"/>
      <c r="G160" s="241"/>
      <c r="H160" s="241"/>
      <c r="I160" s="235"/>
      <c r="J160" s="235"/>
      <c r="K160" s="235"/>
      <c r="L160" s="235"/>
      <c r="M160" s="235"/>
      <c r="N160" s="324"/>
      <c r="O160" s="325"/>
      <c r="Q160" s="208"/>
    </row>
    <row r="161" spans="1:17">
      <c r="A161" s="323" t="s">
        <v>4435</v>
      </c>
      <c r="B161" s="317" t="s">
        <v>76</v>
      </c>
      <c r="C161" s="318"/>
      <c r="D161" s="235"/>
      <c r="E161" s="235"/>
      <c r="F161" s="240"/>
      <c r="G161" s="235"/>
      <c r="H161" s="240"/>
      <c r="I161" s="240"/>
      <c r="J161" s="235"/>
      <c r="K161" s="235"/>
      <c r="L161" s="235"/>
      <c r="M161" s="235"/>
      <c r="N161" s="324">
        <f>SUM(D163:M163)</f>
        <v>0</v>
      </c>
      <c r="O161" s="325"/>
      <c r="Q161" s="208"/>
    </row>
    <row r="162" spans="1:17">
      <c r="A162" s="323"/>
      <c r="B162" s="317"/>
      <c r="C162" s="319"/>
      <c r="D162" s="235"/>
      <c r="E162" s="235"/>
      <c r="F162" s="235"/>
      <c r="G162" s="235"/>
      <c r="H162" s="239"/>
      <c r="I162" s="239"/>
      <c r="J162" s="235"/>
      <c r="K162" s="235"/>
      <c r="L162" s="235"/>
      <c r="M162" s="235"/>
      <c r="N162" s="324"/>
      <c r="O162" s="325"/>
      <c r="Q162" s="208"/>
    </row>
    <row r="163" spans="1:17">
      <c r="A163" s="323"/>
      <c r="B163" s="317"/>
      <c r="C163" s="319"/>
      <c r="D163" s="235"/>
      <c r="E163" s="235"/>
      <c r="F163" s="241"/>
      <c r="G163" s="235"/>
      <c r="H163" s="241"/>
      <c r="I163" s="241"/>
      <c r="J163" s="241"/>
      <c r="K163" s="241"/>
      <c r="L163" s="241"/>
      <c r="M163" s="241"/>
      <c r="N163" s="324"/>
      <c r="O163" s="325"/>
      <c r="Q163" s="208"/>
    </row>
    <row r="164" spans="1:17">
      <c r="A164" s="323" t="s">
        <v>4448</v>
      </c>
      <c r="B164" s="317" t="s">
        <v>134</v>
      </c>
      <c r="C164" s="318"/>
      <c r="D164" s="235"/>
      <c r="E164" s="235"/>
      <c r="F164" s="235"/>
      <c r="G164" s="240"/>
      <c r="H164" s="240"/>
      <c r="I164" s="240"/>
      <c r="J164" s="240"/>
      <c r="K164" s="235"/>
      <c r="L164" s="235"/>
      <c r="M164" s="235"/>
      <c r="N164" s="324">
        <f>SUM(D166:M166)</f>
        <v>0</v>
      </c>
      <c r="O164" s="325"/>
      <c r="Q164" s="208"/>
    </row>
    <row r="165" spans="1:17">
      <c r="A165" s="323"/>
      <c r="B165" s="317"/>
      <c r="C165" s="319"/>
      <c r="D165" s="235"/>
      <c r="E165" s="235"/>
      <c r="F165" s="235"/>
      <c r="G165" s="235"/>
      <c r="H165" s="235"/>
      <c r="I165" s="235"/>
      <c r="J165" s="239"/>
      <c r="K165" s="235"/>
      <c r="L165" s="235"/>
      <c r="M165" s="235"/>
      <c r="N165" s="324"/>
      <c r="O165" s="325"/>
      <c r="Q165" s="208"/>
    </row>
    <row r="166" spans="1:17">
      <c r="A166" s="323"/>
      <c r="B166" s="317"/>
      <c r="C166" s="319"/>
      <c r="D166" s="235"/>
      <c r="E166" s="235"/>
      <c r="F166" s="235"/>
      <c r="G166" s="241"/>
      <c r="H166" s="241"/>
      <c r="I166" s="241"/>
      <c r="J166" s="241"/>
      <c r="K166" s="235"/>
      <c r="L166" s="235"/>
      <c r="M166" s="235"/>
      <c r="N166" s="324"/>
      <c r="O166" s="325"/>
      <c r="Q166" s="208"/>
    </row>
    <row r="167" spans="1:17">
      <c r="A167" s="323" t="s">
        <v>4462</v>
      </c>
      <c r="B167" s="317" t="s">
        <v>190</v>
      </c>
      <c r="C167" s="318"/>
      <c r="D167" s="235"/>
      <c r="E167" s="235"/>
      <c r="F167" s="235"/>
      <c r="G167" s="240"/>
      <c r="H167" s="240"/>
      <c r="I167" s="240"/>
      <c r="J167" s="240"/>
      <c r="K167" s="235"/>
      <c r="L167" s="235"/>
      <c r="M167" s="235"/>
      <c r="N167" s="324">
        <f>SUM(D169:M169)</f>
        <v>0</v>
      </c>
      <c r="O167" s="325"/>
      <c r="Q167" s="208"/>
    </row>
    <row r="168" spans="1:17">
      <c r="A168" s="323"/>
      <c r="B168" s="317"/>
      <c r="C168" s="319"/>
      <c r="D168" s="235"/>
      <c r="E168" s="235"/>
      <c r="F168" s="235"/>
      <c r="G168" s="235"/>
      <c r="H168" s="239"/>
      <c r="I168" s="239"/>
      <c r="J168" s="235"/>
      <c r="K168" s="235"/>
      <c r="L168" s="235"/>
      <c r="M168" s="235"/>
      <c r="N168" s="324"/>
      <c r="O168" s="325"/>
      <c r="Q168" s="208"/>
    </row>
    <row r="169" spans="1:17">
      <c r="A169" s="323"/>
      <c r="B169" s="317"/>
      <c r="C169" s="319"/>
      <c r="D169" s="235"/>
      <c r="E169" s="235"/>
      <c r="F169" s="235"/>
      <c r="G169" s="241"/>
      <c r="H169" s="241"/>
      <c r="I169" s="241"/>
      <c r="J169" s="241"/>
      <c r="K169" s="235"/>
      <c r="L169" s="235"/>
      <c r="M169" s="235"/>
      <c r="N169" s="324"/>
      <c r="O169" s="325"/>
      <c r="Q169" s="208"/>
    </row>
    <row r="170" spans="1:17">
      <c r="A170" s="323" t="s">
        <v>4468</v>
      </c>
      <c r="B170" s="317" t="s">
        <v>204</v>
      </c>
      <c r="C170" s="318"/>
      <c r="D170" s="235"/>
      <c r="E170" s="235"/>
      <c r="F170" s="235"/>
      <c r="G170" s="235"/>
      <c r="H170" s="240"/>
      <c r="I170" s="240"/>
      <c r="J170" s="240"/>
      <c r="K170" s="240"/>
      <c r="L170" s="235"/>
      <c r="M170" s="235"/>
      <c r="N170" s="324">
        <f>SUM(D172:M172)</f>
        <v>0</v>
      </c>
      <c r="O170" s="325"/>
      <c r="Q170" s="208"/>
    </row>
    <row r="171" spans="1:17">
      <c r="A171" s="323"/>
      <c r="B171" s="317"/>
      <c r="C171" s="319"/>
      <c r="D171" s="235"/>
      <c r="E171" s="235"/>
      <c r="F171" s="235"/>
      <c r="G171" s="235"/>
      <c r="H171" s="235"/>
      <c r="I171" s="235"/>
      <c r="J171" s="235"/>
      <c r="K171" s="239"/>
      <c r="L171" s="235"/>
      <c r="M171" s="235"/>
      <c r="N171" s="324"/>
      <c r="O171" s="325"/>
      <c r="Q171" s="208"/>
    </row>
    <row r="172" spans="1:17">
      <c r="A172" s="323"/>
      <c r="B172" s="317"/>
      <c r="C172" s="319"/>
      <c r="D172" s="235"/>
      <c r="E172" s="235"/>
      <c r="F172" s="235"/>
      <c r="G172" s="235"/>
      <c r="H172" s="241"/>
      <c r="I172" s="241"/>
      <c r="J172" s="241"/>
      <c r="K172" s="241"/>
      <c r="L172" s="235"/>
      <c r="M172" s="235"/>
      <c r="N172" s="324"/>
      <c r="O172" s="325"/>
      <c r="Q172" s="208"/>
    </row>
    <row r="173" spans="1:17">
      <c r="A173" s="323" t="s">
        <v>4474</v>
      </c>
      <c r="B173" s="317" t="s">
        <v>257</v>
      </c>
      <c r="C173" s="318"/>
      <c r="D173" s="235"/>
      <c r="E173" s="235"/>
      <c r="F173" s="235"/>
      <c r="G173" s="235"/>
      <c r="H173" s="235"/>
      <c r="I173" s="240"/>
      <c r="J173" s="240"/>
      <c r="K173" s="240"/>
      <c r="L173" s="240"/>
      <c r="M173" s="240"/>
      <c r="N173" s="324">
        <f>SUM(D175:M175)</f>
        <v>0</v>
      </c>
      <c r="O173" s="325"/>
      <c r="Q173" s="208"/>
    </row>
    <row r="174" spans="1:17">
      <c r="A174" s="323"/>
      <c r="B174" s="317"/>
      <c r="C174" s="319"/>
      <c r="D174" s="235"/>
      <c r="E174" s="235"/>
      <c r="F174" s="235"/>
      <c r="G174" s="235"/>
      <c r="H174" s="235"/>
      <c r="I174" s="235"/>
      <c r="J174" s="235"/>
      <c r="K174" s="235"/>
      <c r="L174" s="239"/>
      <c r="M174" s="235"/>
      <c r="N174" s="324"/>
      <c r="O174" s="325"/>
      <c r="Q174" s="208"/>
    </row>
    <row r="175" spans="1:17">
      <c r="A175" s="323"/>
      <c r="B175" s="317"/>
      <c r="C175" s="319"/>
      <c r="D175" s="235"/>
      <c r="E175" s="235"/>
      <c r="F175" s="235"/>
      <c r="G175" s="235"/>
      <c r="H175" s="235"/>
      <c r="I175" s="241"/>
      <c r="J175" s="241"/>
      <c r="K175" s="241"/>
      <c r="L175" s="241"/>
      <c r="M175" s="241"/>
      <c r="N175" s="324"/>
      <c r="O175" s="325"/>
      <c r="Q175" s="208"/>
    </row>
    <row r="176" spans="1:17">
      <c r="A176" s="323" t="s">
        <v>4523</v>
      </c>
      <c r="B176" s="317" t="s">
        <v>302</v>
      </c>
      <c r="C176" s="318"/>
      <c r="D176" s="235"/>
      <c r="E176" s="235"/>
      <c r="F176" s="235"/>
      <c r="G176" s="235"/>
      <c r="H176" s="235"/>
      <c r="I176" s="235"/>
      <c r="J176" s="240"/>
      <c r="K176" s="240"/>
      <c r="L176" s="240"/>
      <c r="M176" s="235"/>
      <c r="N176" s="324">
        <f>SUM(D178:M178)</f>
        <v>0</v>
      </c>
      <c r="O176" s="325"/>
      <c r="Q176" s="208"/>
    </row>
    <row r="177" spans="1:17">
      <c r="A177" s="323"/>
      <c r="B177" s="317"/>
      <c r="C177" s="319"/>
      <c r="D177" s="235"/>
      <c r="E177" s="235"/>
      <c r="F177" s="235"/>
      <c r="G177" s="235"/>
      <c r="H177" s="235"/>
      <c r="I177" s="235"/>
      <c r="J177" s="235"/>
      <c r="K177" s="235"/>
      <c r="L177" s="239"/>
      <c r="M177" s="235"/>
      <c r="N177" s="324"/>
      <c r="O177" s="325"/>
      <c r="Q177" s="208"/>
    </row>
    <row r="178" spans="1:17">
      <c r="A178" s="323"/>
      <c r="B178" s="317"/>
      <c r="C178" s="319"/>
      <c r="D178" s="235"/>
      <c r="E178" s="235"/>
      <c r="F178" s="235"/>
      <c r="G178" s="235"/>
      <c r="H178" s="235"/>
      <c r="I178" s="235"/>
      <c r="J178" s="241"/>
      <c r="K178" s="241"/>
      <c r="L178" s="241"/>
      <c r="M178" s="235"/>
      <c r="N178" s="324"/>
      <c r="O178" s="325"/>
      <c r="Q178" s="208"/>
    </row>
    <row r="179" spans="1:17">
      <c r="A179" s="323" t="s">
        <v>5687</v>
      </c>
      <c r="B179" s="317" t="s">
        <v>700</v>
      </c>
      <c r="C179" s="318"/>
      <c r="D179" s="235"/>
      <c r="E179" s="235"/>
      <c r="F179" s="235"/>
      <c r="G179" s="235"/>
      <c r="H179" s="235"/>
      <c r="I179" s="235"/>
      <c r="J179" s="240"/>
      <c r="K179" s="240"/>
      <c r="L179" s="240"/>
      <c r="M179" s="240"/>
      <c r="N179" s="324">
        <f>SUM(D181:M181)</f>
        <v>0</v>
      </c>
      <c r="O179" s="325"/>
      <c r="Q179" s="208"/>
    </row>
    <row r="180" spans="1:17">
      <c r="A180" s="323"/>
      <c r="B180" s="317"/>
      <c r="C180" s="319"/>
      <c r="D180" s="235"/>
      <c r="E180" s="235"/>
      <c r="F180" s="235"/>
      <c r="G180" s="235"/>
      <c r="H180" s="235"/>
      <c r="I180" s="235"/>
      <c r="J180" s="239"/>
      <c r="K180" s="239"/>
      <c r="L180" s="235"/>
      <c r="M180" s="235"/>
      <c r="N180" s="324"/>
      <c r="O180" s="325"/>
      <c r="Q180" s="208"/>
    </row>
    <row r="181" spans="1:17">
      <c r="A181" s="323"/>
      <c r="B181" s="317"/>
      <c r="C181" s="319"/>
      <c r="D181" s="235"/>
      <c r="E181" s="235"/>
      <c r="F181" s="235"/>
      <c r="G181" s="235"/>
      <c r="H181" s="235"/>
      <c r="I181" s="235"/>
      <c r="J181" s="241"/>
      <c r="K181" s="241"/>
      <c r="L181" s="241"/>
      <c r="M181" s="241"/>
      <c r="N181" s="324"/>
      <c r="O181" s="325"/>
      <c r="Q181" s="208"/>
    </row>
    <row r="182" spans="1:17" ht="20.25">
      <c r="A182" s="283">
        <v>9</v>
      </c>
      <c r="B182" s="79" t="s">
        <v>5688</v>
      </c>
      <c r="C182" s="176">
        <f>SUM(C183:C221)</f>
        <v>0</v>
      </c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284">
        <f>SUM(N183:N221)</f>
        <v>0</v>
      </c>
      <c r="Q182" s="208"/>
    </row>
    <row r="183" spans="1:17">
      <c r="A183" s="323" t="s">
        <v>4604</v>
      </c>
      <c r="B183" s="317" t="s">
        <v>1965</v>
      </c>
      <c r="C183" s="318"/>
      <c r="D183" s="235"/>
      <c r="E183" s="240"/>
      <c r="F183" s="240"/>
      <c r="G183" s="240"/>
      <c r="H183" s="240"/>
      <c r="I183" s="235"/>
      <c r="J183" s="235"/>
      <c r="K183" s="235"/>
      <c r="L183" s="235"/>
      <c r="M183" s="235"/>
      <c r="N183" s="324">
        <f>SUM(D185:M185)</f>
        <v>0</v>
      </c>
      <c r="O183" s="325"/>
      <c r="Q183" s="208"/>
    </row>
    <row r="184" spans="1:17">
      <c r="A184" s="323"/>
      <c r="B184" s="317"/>
      <c r="C184" s="318"/>
      <c r="D184" s="235"/>
      <c r="E184" s="235"/>
      <c r="F184" s="235"/>
      <c r="G184" s="235"/>
      <c r="H184" s="239"/>
      <c r="I184" s="235"/>
      <c r="J184" s="235"/>
      <c r="K184" s="235"/>
      <c r="L184" s="235"/>
      <c r="M184" s="235"/>
      <c r="N184" s="324"/>
      <c r="O184" s="325"/>
      <c r="Q184" s="208"/>
    </row>
    <row r="185" spans="1:17">
      <c r="A185" s="323"/>
      <c r="B185" s="317"/>
      <c r="C185" s="318"/>
      <c r="D185" s="235"/>
      <c r="E185" s="241"/>
      <c r="F185" s="241"/>
      <c r="G185" s="241"/>
      <c r="H185" s="241"/>
      <c r="I185" s="235"/>
      <c r="J185" s="235"/>
      <c r="K185" s="235"/>
      <c r="L185" s="235"/>
      <c r="M185" s="235"/>
      <c r="N185" s="324"/>
      <c r="O185" s="325"/>
      <c r="Q185" s="208"/>
    </row>
    <row r="186" spans="1:17">
      <c r="A186" s="323" t="s">
        <v>4659</v>
      </c>
      <c r="B186" s="317" t="s">
        <v>76</v>
      </c>
      <c r="C186" s="318"/>
      <c r="D186" s="235"/>
      <c r="E186" s="235"/>
      <c r="F186" s="240"/>
      <c r="G186" s="235"/>
      <c r="H186" s="240"/>
      <c r="I186" s="240"/>
      <c r="J186" s="235"/>
      <c r="K186" s="235"/>
      <c r="L186" s="235"/>
      <c r="M186" s="235"/>
      <c r="N186" s="324">
        <f>SUM(D188:M188)</f>
        <v>0</v>
      </c>
      <c r="O186" s="325"/>
      <c r="Q186" s="208"/>
    </row>
    <row r="187" spans="1:17">
      <c r="A187" s="323"/>
      <c r="B187" s="317"/>
      <c r="C187" s="319"/>
      <c r="D187" s="235"/>
      <c r="E187" s="235"/>
      <c r="F187" s="235"/>
      <c r="G187" s="235"/>
      <c r="H187" s="235"/>
      <c r="I187" s="239"/>
      <c r="J187" s="235"/>
      <c r="K187" s="235"/>
      <c r="L187" s="235"/>
      <c r="M187" s="235"/>
      <c r="N187" s="324"/>
      <c r="O187" s="325"/>
      <c r="Q187" s="208"/>
    </row>
    <row r="188" spans="1:17">
      <c r="A188" s="323"/>
      <c r="B188" s="317"/>
      <c r="C188" s="319"/>
      <c r="D188" s="235"/>
      <c r="E188" s="235"/>
      <c r="F188" s="241"/>
      <c r="G188" s="235"/>
      <c r="H188" s="241"/>
      <c r="I188" s="241"/>
      <c r="J188" s="241"/>
      <c r="K188" s="241"/>
      <c r="L188" s="241"/>
      <c r="M188" s="241"/>
      <c r="N188" s="324"/>
      <c r="O188" s="325"/>
      <c r="Q188" s="208"/>
    </row>
    <row r="189" spans="1:17">
      <c r="A189" s="323" t="s">
        <v>4692</v>
      </c>
      <c r="B189" s="317" t="s">
        <v>134</v>
      </c>
      <c r="C189" s="318"/>
      <c r="D189" s="235"/>
      <c r="E189" s="235"/>
      <c r="F189" s="235"/>
      <c r="G189" s="240"/>
      <c r="H189" s="240"/>
      <c r="I189" s="240"/>
      <c r="J189" s="240"/>
      <c r="K189" s="235"/>
      <c r="L189" s="235"/>
      <c r="M189" s="235"/>
      <c r="N189" s="324">
        <f>SUM(D191:M191)</f>
        <v>0</v>
      </c>
      <c r="O189" s="325"/>
      <c r="Q189" s="208"/>
    </row>
    <row r="190" spans="1:17">
      <c r="A190" s="323"/>
      <c r="B190" s="317"/>
      <c r="C190" s="319"/>
      <c r="D190" s="235"/>
      <c r="E190" s="235"/>
      <c r="F190" s="235"/>
      <c r="G190" s="235"/>
      <c r="H190" s="235"/>
      <c r="I190" s="235"/>
      <c r="J190" s="239"/>
      <c r="K190" s="235"/>
      <c r="L190" s="235"/>
      <c r="M190" s="235"/>
      <c r="N190" s="324"/>
      <c r="O190" s="325"/>
      <c r="Q190" s="208"/>
    </row>
    <row r="191" spans="1:17">
      <c r="A191" s="323"/>
      <c r="B191" s="317"/>
      <c r="C191" s="319"/>
      <c r="D191" s="235"/>
      <c r="E191" s="235"/>
      <c r="F191" s="235"/>
      <c r="G191" s="241"/>
      <c r="H191" s="241"/>
      <c r="I191" s="241"/>
      <c r="J191" s="241"/>
      <c r="K191" s="235"/>
      <c r="L191" s="235"/>
      <c r="M191" s="235"/>
      <c r="N191" s="324"/>
      <c r="O191" s="325"/>
      <c r="Q191" s="208"/>
    </row>
    <row r="192" spans="1:17">
      <c r="A192" s="323" t="s">
        <v>4709</v>
      </c>
      <c r="B192" s="317" t="s">
        <v>190</v>
      </c>
      <c r="C192" s="318"/>
      <c r="D192" s="235"/>
      <c r="E192" s="235"/>
      <c r="F192" s="235"/>
      <c r="G192" s="240"/>
      <c r="H192" s="240"/>
      <c r="I192" s="240"/>
      <c r="J192" s="240"/>
      <c r="K192" s="235"/>
      <c r="L192" s="235"/>
      <c r="M192" s="235"/>
      <c r="N192" s="324">
        <f>SUM(D194:M194)</f>
        <v>0</v>
      </c>
      <c r="O192" s="325"/>
      <c r="Q192" s="208"/>
    </row>
    <row r="193" spans="1:17">
      <c r="A193" s="323"/>
      <c r="B193" s="317"/>
      <c r="C193" s="319"/>
      <c r="D193" s="235"/>
      <c r="E193" s="235"/>
      <c r="F193" s="235"/>
      <c r="G193" s="235"/>
      <c r="H193" s="239"/>
      <c r="I193" s="239"/>
      <c r="J193" s="235"/>
      <c r="K193" s="235"/>
      <c r="L193" s="235"/>
      <c r="M193" s="235"/>
      <c r="N193" s="324"/>
      <c r="O193" s="325"/>
      <c r="Q193" s="208"/>
    </row>
    <row r="194" spans="1:17">
      <c r="A194" s="323"/>
      <c r="B194" s="317"/>
      <c r="C194" s="319"/>
      <c r="D194" s="235"/>
      <c r="E194" s="235"/>
      <c r="F194" s="235"/>
      <c r="G194" s="241"/>
      <c r="H194" s="241"/>
      <c r="I194" s="241"/>
      <c r="J194" s="241"/>
      <c r="K194" s="235"/>
      <c r="L194" s="235"/>
      <c r="M194" s="235"/>
      <c r="N194" s="324"/>
      <c r="O194" s="325"/>
      <c r="Q194" s="208"/>
    </row>
    <row r="195" spans="1:17">
      <c r="A195" s="323" t="s">
        <v>4720</v>
      </c>
      <c r="B195" s="317" t="s">
        <v>204</v>
      </c>
      <c r="C195" s="318"/>
      <c r="D195" s="235"/>
      <c r="E195" s="235"/>
      <c r="F195" s="235"/>
      <c r="G195" s="235"/>
      <c r="H195" s="240"/>
      <c r="I195" s="240"/>
      <c r="J195" s="240"/>
      <c r="K195" s="240"/>
      <c r="L195" s="235"/>
      <c r="M195" s="235"/>
      <c r="N195" s="324">
        <f>SUM(D197:M197)</f>
        <v>0</v>
      </c>
      <c r="O195" s="325"/>
      <c r="Q195" s="208"/>
    </row>
    <row r="196" spans="1:17">
      <c r="A196" s="323"/>
      <c r="B196" s="317"/>
      <c r="C196" s="319"/>
      <c r="D196" s="235"/>
      <c r="E196" s="235"/>
      <c r="F196" s="235"/>
      <c r="G196" s="235"/>
      <c r="H196" s="235"/>
      <c r="I196" s="235"/>
      <c r="J196" s="235"/>
      <c r="K196" s="239"/>
      <c r="L196" s="235"/>
      <c r="M196" s="235"/>
      <c r="N196" s="324"/>
      <c r="O196" s="325"/>
      <c r="Q196" s="208"/>
    </row>
    <row r="197" spans="1:17">
      <c r="A197" s="323"/>
      <c r="B197" s="317"/>
      <c r="C197" s="319"/>
      <c r="D197" s="235"/>
      <c r="E197" s="235"/>
      <c r="F197" s="235"/>
      <c r="G197" s="235"/>
      <c r="H197" s="241"/>
      <c r="I197" s="241"/>
      <c r="J197" s="241"/>
      <c r="K197" s="241"/>
      <c r="L197" s="235"/>
      <c r="M197" s="235"/>
      <c r="N197" s="324"/>
      <c r="O197" s="325"/>
      <c r="Q197" s="208"/>
    </row>
    <row r="198" spans="1:17">
      <c r="A198" s="323" t="s">
        <v>4729</v>
      </c>
      <c r="B198" s="317" t="s">
        <v>257</v>
      </c>
      <c r="C198" s="318"/>
      <c r="D198" s="235"/>
      <c r="E198" s="235"/>
      <c r="F198" s="235"/>
      <c r="G198" s="235"/>
      <c r="H198" s="235"/>
      <c r="I198" s="240"/>
      <c r="J198" s="240"/>
      <c r="K198" s="240"/>
      <c r="L198" s="240"/>
      <c r="M198" s="235"/>
      <c r="N198" s="324">
        <f>SUM(D200:M200)</f>
        <v>0</v>
      </c>
      <c r="O198" s="325"/>
      <c r="Q198" s="208"/>
    </row>
    <row r="199" spans="1:17">
      <c r="A199" s="323"/>
      <c r="B199" s="317"/>
      <c r="C199" s="319"/>
      <c r="D199" s="235"/>
      <c r="E199" s="235"/>
      <c r="F199" s="235"/>
      <c r="G199" s="235"/>
      <c r="H199" s="235"/>
      <c r="I199" s="235"/>
      <c r="J199" s="240"/>
      <c r="K199" s="239"/>
      <c r="L199" s="239"/>
      <c r="M199" s="235"/>
      <c r="N199" s="324"/>
      <c r="O199" s="325"/>
      <c r="Q199" s="208"/>
    </row>
    <row r="200" spans="1:17">
      <c r="A200" s="323"/>
      <c r="B200" s="317"/>
      <c r="C200" s="319"/>
      <c r="D200" s="235"/>
      <c r="E200" s="235"/>
      <c r="F200" s="235"/>
      <c r="G200" s="235"/>
      <c r="H200" s="235"/>
      <c r="I200" s="241"/>
      <c r="J200" s="240"/>
      <c r="K200" s="241"/>
      <c r="L200" s="241"/>
      <c r="M200" s="235"/>
      <c r="N200" s="324"/>
      <c r="O200" s="325"/>
      <c r="Q200" s="208"/>
    </row>
    <row r="201" spans="1:17">
      <c r="A201" s="323" t="s">
        <v>4742</v>
      </c>
      <c r="B201" s="317" t="s">
        <v>294</v>
      </c>
      <c r="C201" s="318"/>
      <c r="D201" s="235"/>
      <c r="E201" s="235"/>
      <c r="F201" s="235"/>
      <c r="G201" s="235"/>
      <c r="H201" s="235"/>
      <c r="I201" s="235"/>
      <c r="J201" s="240"/>
      <c r="K201" s="240"/>
      <c r="L201" s="240"/>
      <c r="M201" s="240"/>
      <c r="N201" s="324">
        <f>SUM(D203:M203)</f>
        <v>0</v>
      </c>
      <c r="O201" s="325"/>
      <c r="Q201" s="208"/>
    </row>
    <row r="202" spans="1:17">
      <c r="A202" s="323"/>
      <c r="B202" s="317"/>
      <c r="C202" s="319"/>
      <c r="D202" s="235"/>
      <c r="E202" s="235"/>
      <c r="F202" s="235"/>
      <c r="G202" s="235"/>
      <c r="H202" s="235"/>
      <c r="I202" s="235"/>
      <c r="J202" s="235"/>
      <c r="K202" s="235"/>
      <c r="L202" s="239"/>
      <c r="M202" s="235"/>
      <c r="N202" s="324"/>
      <c r="O202" s="325"/>
      <c r="Q202" s="208"/>
    </row>
    <row r="203" spans="1:17">
      <c r="A203" s="323"/>
      <c r="B203" s="317"/>
      <c r="C203" s="319"/>
      <c r="D203" s="235"/>
      <c r="E203" s="235"/>
      <c r="F203" s="235"/>
      <c r="G203" s="235"/>
      <c r="H203" s="235"/>
      <c r="I203" s="235"/>
      <c r="J203" s="241"/>
      <c r="K203" s="241"/>
      <c r="L203" s="241"/>
      <c r="M203" s="241"/>
      <c r="N203" s="324"/>
      <c r="O203" s="325"/>
      <c r="Q203" s="208"/>
    </row>
    <row r="204" spans="1:17">
      <c r="A204" s="323" t="s">
        <v>4745</v>
      </c>
      <c r="B204" s="317" t="s">
        <v>302</v>
      </c>
      <c r="C204" s="318"/>
      <c r="D204" s="235"/>
      <c r="E204" s="235"/>
      <c r="F204" s="235"/>
      <c r="G204" s="235"/>
      <c r="H204" s="235"/>
      <c r="I204" s="235"/>
      <c r="J204" s="240"/>
      <c r="K204" s="240"/>
      <c r="L204" s="240"/>
      <c r="M204" s="235"/>
      <c r="N204" s="324">
        <f>SUM(D206:M206)</f>
        <v>0</v>
      </c>
      <c r="O204" s="325"/>
      <c r="Q204" s="208"/>
    </row>
    <row r="205" spans="1:17">
      <c r="A205" s="323"/>
      <c r="B205" s="317"/>
      <c r="C205" s="319"/>
      <c r="D205" s="235"/>
      <c r="E205" s="235"/>
      <c r="F205" s="235"/>
      <c r="G205" s="235"/>
      <c r="H205" s="235"/>
      <c r="I205" s="235"/>
      <c r="J205" s="235"/>
      <c r="K205" s="235"/>
      <c r="L205" s="239"/>
      <c r="M205" s="235"/>
      <c r="N205" s="324"/>
      <c r="O205" s="325"/>
      <c r="Q205" s="208"/>
    </row>
    <row r="206" spans="1:17">
      <c r="A206" s="323"/>
      <c r="B206" s="317"/>
      <c r="C206" s="319"/>
      <c r="D206" s="235"/>
      <c r="E206" s="235"/>
      <c r="F206" s="235"/>
      <c r="G206" s="235"/>
      <c r="H206" s="235"/>
      <c r="I206" s="235"/>
      <c r="J206" s="241"/>
      <c r="K206" s="241"/>
      <c r="L206" s="241"/>
      <c r="M206" s="235"/>
      <c r="N206" s="324"/>
      <c r="O206" s="325"/>
      <c r="Q206" s="208"/>
    </row>
    <row r="207" spans="1:17">
      <c r="A207" s="323" t="s">
        <v>4756</v>
      </c>
      <c r="B207" s="317" t="s">
        <v>349</v>
      </c>
      <c r="C207" s="318"/>
      <c r="D207" s="235"/>
      <c r="E207" s="235"/>
      <c r="F207" s="235"/>
      <c r="G207" s="235"/>
      <c r="H207" s="235"/>
      <c r="I207" s="235"/>
      <c r="J207" s="235"/>
      <c r="K207" s="235"/>
      <c r="L207" s="235"/>
      <c r="M207" s="240"/>
      <c r="N207" s="324">
        <f>SUM(D209:M209)</f>
        <v>0</v>
      </c>
      <c r="O207" s="325"/>
      <c r="Q207" s="208"/>
    </row>
    <row r="208" spans="1:17">
      <c r="A208" s="323"/>
      <c r="B208" s="317"/>
      <c r="C208" s="319"/>
      <c r="D208" s="235"/>
      <c r="E208" s="235"/>
      <c r="F208" s="235"/>
      <c r="G208" s="235"/>
      <c r="H208" s="235"/>
      <c r="I208" s="235"/>
      <c r="J208" s="235"/>
      <c r="K208" s="235"/>
      <c r="L208" s="235"/>
      <c r="M208" s="239"/>
      <c r="N208" s="324"/>
      <c r="O208" s="325"/>
      <c r="Q208" s="208"/>
    </row>
    <row r="209" spans="1:17">
      <c r="A209" s="323"/>
      <c r="B209" s="317"/>
      <c r="C209" s="319"/>
      <c r="D209" s="235"/>
      <c r="E209" s="235"/>
      <c r="F209" s="235"/>
      <c r="G209" s="235"/>
      <c r="H209" s="235"/>
      <c r="I209" s="235"/>
      <c r="J209" s="235"/>
      <c r="K209" s="235"/>
      <c r="L209" s="235"/>
      <c r="M209" s="241"/>
      <c r="N209" s="324"/>
      <c r="O209" s="325"/>
      <c r="Q209" s="208"/>
    </row>
    <row r="210" spans="1:17">
      <c r="A210" s="323" t="s">
        <v>4763</v>
      </c>
      <c r="B210" s="317" t="s">
        <v>375</v>
      </c>
      <c r="C210" s="318"/>
      <c r="D210" s="235"/>
      <c r="E210" s="235"/>
      <c r="F210" s="235"/>
      <c r="G210" s="235"/>
      <c r="H210" s="235"/>
      <c r="I210" s="235"/>
      <c r="J210" s="235"/>
      <c r="K210" s="235"/>
      <c r="L210" s="240"/>
      <c r="M210" s="240"/>
      <c r="N210" s="324">
        <f>SUM(D212:M212)</f>
        <v>0</v>
      </c>
      <c r="O210" s="208"/>
      <c r="Q210" s="208"/>
    </row>
    <row r="211" spans="1:17">
      <c r="A211" s="323"/>
      <c r="B211" s="317"/>
      <c r="C211" s="319"/>
      <c r="D211" s="235"/>
      <c r="E211" s="235"/>
      <c r="F211" s="235"/>
      <c r="G211" s="235"/>
      <c r="H211" s="235"/>
      <c r="I211" s="235"/>
      <c r="J211" s="235"/>
      <c r="K211" s="235"/>
      <c r="L211" s="239"/>
      <c r="M211" s="235"/>
      <c r="N211" s="324"/>
      <c r="O211" s="208"/>
      <c r="Q211" s="208"/>
    </row>
    <row r="212" spans="1:17">
      <c r="A212" s="323"/>
      <c r="B212" s="317"/>
      <c r="C212" s="319"/>
      <c r="D212" s="235"/>
      <c r="E212" s="235"/>
      <c r="F212" s="235"/>
      <c r="G212" s="235"/>
      <c r="H212" s="235"/>
      <c r="I212" s="235"/>
      <c r="J212" s="235"/>
      <c r="K212" s="235"/>
      <c r="L212" s="241"/>
      <c r="M212" s="241"/>
      <c r="N212" s="324"/>
      <c r="O212" s="208"/>
      <c r="Q212" s="208"/>
    </row>
    <row r="213" spans="1:17">
      <c r="A213" s="323" t="s">
        <v>5642</v>
      </c>
      <c r="B213" s="317" t="s">
        <v>5686</v>
      </c>
      <c r="C213" s="318"/>
      <c r="D213" s="235"/>
      <c r="E213" s="235"/>
      <c r="F213" s="235"/>
      <c r="G213" s="235"/>
      <c r="H213" s="240"/>
      <c r="I213" s="240"/>
      <c r="J213" s="240"/>
      <c r="K213" s="240"/>
      <c r="L213" s="240"/>
      <c r="M213" s="240"/>
      <c r="N213" s="324">
        <f>SUM(D215:M215)</f>
        <v>0</v>
      </c>
      <c r="O213" s="325"/>
      <c r="Q213" s="208"/>
    </row>
    <row r="214" spans="1:17">
      <c r="A214" s="323"/>
      <c r="B214" s="317"/>
      <c r="C214" s="319"/>
      <c r="D214" s="235"/>
      <c r="E214" s="235"/>
      <c r="F214" s="235"/>
      <c r="G214" s="235"/>
      <c r="H214" s="235"/>
      <c r="I214" s="235"/>
      <c r="J214" s="239"/>
      <c r="K214" s="239"/>
      <c r="L214" s="235"/>
      <c r="M214" s="235"/>
      <c r="N214" s="324"/>
      <c r="O214" s="325"/>
      <c r="Q214" s="208"/>
    </row>
    <row r="215" spans="1:17">
      <c r="A215" s="323"/>
      <c r="B215" s="317"/>
      <c r="C215" s="319"/>
      <c r="D215" s="235"/>
      <c r="E215" s="235"/>
      <c r="F215" s="235"/>
      <c r="G215" s="235"/>
      <c r="H215" s="241"/>
      <c r="I215" s="241"/>
      <c r="J215" s="241"/>
      <c r="K215" s="241"/>
      <c r="L215" s="241"/>
      <c r="M215" s="241"/>
      <c r="N215" s="324"/>
      <c r="O215" s="325"/>
      <c r="Q215" s="208"/>
    </row>
    <row r="216" spans="1:17">
      <c r="A216" s="323" t="s">
        <v>4901</v>
      </c>
      <c r="B216" s="317" t="s">
        <v>2022</v>
      </c>
      <c r="C216" s="318"/>
      <c r="D216" s="235"/>
      <c r="E216" s="235"/>
      <c r="F216" s="235"/>
      <c r="G216" s="235"/>
      <c r="H216" s="235"/>
      <c r="I216" s="235"/>
      <c r="J216" s="235"/>
      <c r="K216" s="235"/>
      <c r="L216" s="235"/>
      <c r="M216" s="240"/>
      <c r="N216" s="324">
        <f>SUM(D218:M218)</f>
        <v>0</v>
      </c>
      <c r="O216" s="325"/>
      <c r="Q216" s="208"/>
    </row>
    <row r="217" spans="1:17">
      <c r="A217" s="323"/>
      <c r="B217" s="317"/>
      <c r="C217" s="319"/>
      <c r="D217" s="235"/>
      <c r="E217" s="235"/>
      <c r="F217" s="235"/>
      <c r="G217" s="235"/>
      <c r="H217" s="235"/>
      <c r="I217" s="235"/>
      <c r="J217" s="235"/>
      <c r="K217" s="235"/>
      <c r="L217" s="235"/>
      <c r="M217" s="239"/>
      <c r="N217" s="324"/>
      <c r="O217" s="325"/>
      <c r="Q217" s="208"/>
    </row>
    <row r="218" spans="1:17">
      <c r="A218" s="323"/>
      <c r="B218" s="317"/>
      <c r="C218" s="319"/>
      <c r="D218" s="235"/>
      <c r="E218" s="235"/>
      <c r="F218" s="235"/>
      <c r="G218" s="235"/>
      <c r="H218" s="235"/>
      <c r="I218" s="235"/>
      <c r="J218" s="235"/>
      <c r="K218" s="235"/>
      <c r="L218" s="235"/>
      <c r="M218" s="241"/>
      <c r="N218" s="324"/>
      <c r="O218" s="325"/>
      <c r="Q218" s="208"/>
    </row>
    <row r="219" spans="1:17">
      <c r="A219" s="323" t="s">
        <v>4910</v>
      </c>
      <c r="B219" s="317" t="s">
        <v>876</v>
      </c>
      <c r="C219" s="318"/>
      <c r="D219" s="235"/>
      <c r="E219" s="235"/>
      <c r="F219" s="235"/>
      <c r="G219" s="235"/>
      <c r="H219" s="235"/>
      <c r="I219" s="235"/>
      <c r="J219" s="235"/>
      <c r="K219" s="235"/>
      <c r="L219" s="240"/>
      <c r="M219" s="240"/>
      <c r="N219" s="324">
        <f>SUM(D221:M221)</f>
        <v>0</v>
      </c>
      <c r="O219" s="325"/>
      <c r="Q219" s="208"/>
    </row>
    <row r="220" spans="1:17">
      <c r="A220" s="323"/>
      <c r="B220" s="317"/>
      <c r="C220" s="319"/>
      <c r="D220" s="235"/>
      <c r="E220" s="235"/>
      <c r="F220" s="235"/>
      <c r="G220" s="235"/>
      <c r="H220" s="235"/>
      <c r="I220" s="235"/>
      <c r="J220" s="235"/>
      <c r="K220" s="235"/>
      <c r="L220" s="235"/>
      <c r="M220" s="239"/>
      <c r="N220" s="324"/>
      <c r="O220" s="325"/>
      <c r="Q220" s="208"/>
    </row>
    <row r="221" spans="1:17">
      <c r="A221" s="323"/>
      <c r="B221" s="317"/>
      <c r="C221" s="319"/>
      <c r="D221" s="235"/>
      <c r="E221" s="235"/>
      <c r="F221" s="235"/>
      <c r="G221" s="235"/>
      <c r="H221" s="235"/>
      <c r="I221" s="235"/>
      <c r="J221" s="235"/>
      <c r="K221" s="235"/>
      <c r="L221" s="241"/>
      <c r="M221" s="241"/>
      <c r="N221" s="324"/>
      <c r="O221" s="325"/>
      <c r="Q221" s="208"/>
    </row>
    <row r="222" spans="1:17" ht="20.25">
      <c r="A222" s="283">
        <v>10</v>
      </c>
      <c r="B222" s="79" t="s">
        <v>20</v>
      </c>
      <c r="C222" s="176">
        <f>SUM(C223:C258)</f>
        <v>0</v>
      </c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284">
        <f>SUM(N223:N258)</f>
        <v>0</v>
      </c>
      <c r="Q222" s="208"/>
    </row>
    <row r="223" spans="1:17">
      <c r="A223" s="323" t="s">
        <v>4935</v>
      </c>
      <c r="B223" s="317" t="s">
        <v>1965</v>
      </c>
      <c r="C223" s="318"/>
      <c r="D223" s="235"/>
      <c r="E223" s="240"/>
      <c r="F223" s="240"/>
      <c r="G223" s="235"/>
      <c r="H223" s="240"/>
      <c r="I223" s="240"/>
      <c r="J223" s="235"/>
      <c r="K223" s="235"/>
      <c r="L223" s="235"/>
      <c r="M223" s="235"/>
      <c r="N223" s="324">
        <f>SUM(D225:M225)</f>
        <v>0</v>
      </c>
      <c r="O223" s="325"/>
      <c r="Q223" s="208"/>
    </row>
    <row r="224" spans="1:17">
      <c r="A224" s="323"/>
      <c r="B224" s="317"/>
      <c r="C224" s="318"/>
      <c r="D224" s="235"/>
      <c r="E224" s="235"/>
      <c r="F224" s="239"/>
      <c r="G224" s="235"/>
      <c r="H224" s="235"/>
      <c r="I224" s="235"/>
      <c r="J224" s="235"/>
      <c r="K224" s="235"/>
      <c r="L224" s="235"/>
      <c r="M224" s="235"/>
      <c r="N224" s="324"/>
      <c r="O224" s="325"/>
      <c r="Q224" s="208"/>
    </row>
    <row r="225" spans="1:17">
      <c r="A225" s="323"/>
      <c r="B225" s="317"/>
      <c r="C225" s="318"/>
      <c r="D225" s="235"/>
      <c r="E225" s="241"/>
      <c r="F225" s="241"/>
      <c r="G225" s="235"/>
      <c r="H225" s="241"/>
      <c r="I225" s="241"/>
      <c r="J225" s="235"/>
      <c r="K225" s="235"/>
      <c r="L225" s="235"/>
      <c r="M225" s="235"/>
      <c r="N225" s="324"/>
      <c r="O225" s="325"/>
      <c r="Q225" s="208"/>
    </row>
    <row r="226" spans="1:17">
      <c r="A226" s="323" t="s">
        <v>4953</v>
      </c>
      <c r="B226" s="317" t="s">
        <v>76</v>
      </c>
      <c r="C226" s="318"/>
      <c r="D226" s="235"/>
      <c r="E226" s="235"/>
      <c r="F226" s="240"/>
      <c r="G226" s="240"/>
      <c r="H226" s="240"/>
      <c r="I226" s="240"/>
      <c r="J226" s="240"/>
      <c r="K226" s="235"/>
      <c r="L226" s="235"/>
      <c r="M226" s="235"/>
      <c r="N226" s="324">
        <f>SUM(D228:M228)</f>
        <v>0</v>
      </c>
      <c r="O226" s="325"/>
      <c r="Q226" s="208"/>
    </row>
    <row r="227" spans="1:17">
      <c r="A227" s="323"/>
      <c r="B227" s="317"/>
      <c r="C227" s="319"/>
      <c r="D227" s="235"/>
      <c r="E227" s="235"/>
      <c r="F227" s="235"/>
      <c r="G227" s="239"/>
      <c r="H227" s="239"/>
      <c r="I227" s="235"/>
      <c r="J227" s="235"/>
      <c r="K227" s="235"/>
      <c r="L227" s="235"/>
      <c r="M227" s="235"/>
      <c r="N227" s="324"/>
      <c r="O227" s="325"/>
      <c r="Q227" s="208"/>
    </row>
    <row r="228" spans="1:17">
      <c r="A228" s="323"/>
      <c r="B228" s="317"/>
      <c r="C228" s="319"/>
      <c r="D228" s="235"/>
      <c r="E228" s="235"/>
      <c r="F228" s="241"/>
      <c r="G228" s="241"/>
      <c r="H228" s="241"/>
      <c r="I228" s="241"/>
      <c r="J228" s="241"/>
      <c r="K228" s="241"/>
      <c r="L228" s="241"/>
      <c r="M228" s="241"/>
      <c r="N228" s="324"/>
      <c r="O228" s="325"/>
      <c r="Q228" s="208"/>
    </row>
    <row r="229" spans="1:17">
      <c r="A229" s="323" t="s">
        <v>4971</v>
      </c>
      <c r="B229" s="317" t="s">
        <v>134</v>
      </c>
      <c r="C229" s="318"/>
      <c r="D229" s="235"/>
      <c r="E229" s="235"/>
      <c r="F229" s="235"/>
      <c r="G229" s="240"/>
      <c r="H229" s="240"/>
      <c r="I229" s="240"/>
      <c r="J229" s="235"/>
      <c r="K229" s="235"/>
      <c r="L229" s="235"/>
      <c r="M229" s="235"/>
      <c r="N229" s="324">
        <f>SUM(D231:M231)</f>
        <v>0</v>
      </c>
      <c r="O229" s="325"/>
      <c r="Q229" s="208"/>
    </row>
    <row r="230" spans="1:17">
      <c r="A230" s="323"/>
      <c r="B230" s="317"/>
      <c r="C230" s="319"/>
      <c r="D230" s="235"/>
      <c r="E230" s="235"/>
      <c r="F230" s="235"/>
      <c r="G230" s="235"/>
      <c r="H230" s="239"/>
      <c r="I230" s="239"/>
      <c r="J230" s="241"/>
      <c r="K230" s="241"/>
      <c r="L230" s="235"/>
      <c r="M230" s="235"/>
      <c r="N230" s="324"/>
      <c r="O230" s="325"/>
      <c r="Q230" s="208"/>
    </row>
    <row r="231" spans="1:17">
      <c r="A231" s="323"/>
      <c r="B231" s="317"/>
      <c r="C231" s="319"/>
      <c r="D231" s="235"/>
      <c r="E231" s="235"/>
      <c r="F231" s="235"/>
      <c r="G231" s="241"/>
      <c r="H231" s="241"/>
      <c r="I231" s="241"/>
      <c r="J231" s="235"/>
      <c r="K231" s="235"/>
      <c r="L231" s="235"/>
      <c r="M231" s="235"/>
      <c r="N231" s="324"/>
      <c r="O231" s="325"/>
      <c r="Q231" s="208"/>
    </row>
    <row r="232" spans="1:17">
      <c r="A232" s="323" t="s">
        <v>4987</v>
      </c>
      <c r="B232" s="317" t="s">
        <v>158</v>
      </c>
      <c r="C232" s="318"/>
      <c r="D232" s="235"/>
      <c r="E232" s="235"/>
      <c r="F232" s="235"/>
      <c r="G232" s="235"/>
      <c r="H232" s="240"/>
      <c r="I232" s="240"/>
      <c r="J232" s="240"/>
      <c r="K232" s="240"/>
      <c r="L232" s="240"/>
      <c r="M232" s="235"/>
      <c r="N232" s="324">
        <f>SUM(D234:M234)</f>
        <v>0</v>
      </c>
      <c r="O232" s="325"/>
      <c r="Q232" s="208"/>
    </row>
    <row r="233" spans="1:17">
      <c r="A233" s="323"/>
      <c r="B233" s="317"/>
      <c r="C233" s="319"/>
      <c r="D233" s="235"/>
      <c r="E233" s="235"/>
      <c r="F233" s="235"/>
      <c r="G233" s="235"/>
      <c r="H233" s="235"/>
      <c r="I233" s="239"/>
      <c r="J233" s="239"/>
      <c r="K233" s="235"/>
      <c r="L233" s="235"/>
      <c r="M233" s="235"/>
      <c r="N233" s="324"/>
      <c r="O233" s="325"/>
      <c r="Q233" s="208"/>
    </row>
    <row r="234" spans="1:17">
      <c r="A234" s="323"/>
      <c r="B234" s="317"/>
      <c r="C234" s="319"/>
      <c r="D234" s="235"/>
      <c r="E234" s="235"/>
      <c r="F234" s="235"/>
      <c r="G234" s="235"/>
      <c r="H234" s="241"/>
      <c r="I234" s="241"/>
      <c r="J234" s="241"/>
      <c r="K234" s="241"/>
      <c r="L234" s="241"/>
      <c r="M234" s="235"/>
      <c r="N234" s="324"/>
      <c r="O234" s="325"/>
      <c r="Q234" s="208"/>
    </row>
    <row r="235" spans="1:17">
      <c r="A235" s="323" t="s">
        <v>4992</v>
      </c>
      <c r="B235" s="317" t="s">
        <v>190</v>
      </c>
      <c r="C235" s="318"/>
      <c r="D235" s="235"/>
      <c r="E235" s="235"/>
      <c r="F235" s="240"/>
      <c r="G235" s="235"/>
      <c r="H235" s="241"/>
      <c r="I235" s="240"/>
      <c r="J235" s="240"/>
      <c r="K235" s="240"/>
      <c r="L235" s="235"/>
      <c r="M235" s="235"/>
      <c r="N235" s="324">
        <f>SUM(D237:M237)</f>
        <v>0</v>
      </c>
      <c r="O235" s="325"/>
      <c r="Q235" s="208"/>
    </row>
    <row r="236" spans="1:17">
      <c r="A236" s="323"/>
      <c r="B236" s="317"/>
      <c r="C236" s="319"/>
      <c r="D236" s="235"/>
      <c r="E236" s="235"/>
      <c r="F236" s="239"/>
      <c r="G236" s="235"/>
      <c r="H236" s="241"/>
      <c r="I236" s="239"/>
      <c r="J236" s="239"/>
      <c r="K236" s="235"/>
      <c r="L236" s="235"/>
      <c r="M236" s="235"/>
      <c r="N236" s="324"/>
      <c r="O236" s="325"/>
      <c r="Q236" s="208"/>
    </row>
    <row r="237" spans="1:17">
      <c r="A237" s="323"/>
      <c r="B237" s="317"/>
      <c r="C237" s="319"/>
      <c r="D237" s="235"/>
      <c r="E237" s="235"/>
      <c r="F237" s="241"/>
      <c r="G237" s="235"/>
      <c r="H237" s="241"/>
      <c r="I237" s="241"/>
      <c r="J237" s="241"/>
      <c r="K237" s="241"/>
      <c r="L237" s="235"/>
      <c r="M237" s="235"/>
      <c r="N237" s="324"/>
      <c r="O237" s="325"/>
      <c r="Q237" s="208"/>
    </row>
    <row r="238" spans="1:17">
      <c r="A238" s="323" t="s">
        <v>4995</v>
      </c>
      <c r="B238" s="317" t="s">
        <v>204</v>
      </c>
      <c r="C238" s="318"/>
      <c r="D238" s="235"/>
      <c r="E238" s="235"/>
      <c r="F238" s="235"/>
      <c r="G238" s="235"/>
      <c r="H238" s="235"/>
      <c r="I238" s="240"/>
      <c r="J238" s="240"/>
      <c r="K238" s="240"/>
      <c r="L238" s="240"/>
      <c r="M238" s="235"/>
      <c r="N238" s="324">
        <f>SUM(D240:M240)</f>
        <v>0</v>
      </c>
      <c r="O238" s="325"/>
      <c r="Q238" s="208"/>
    </row>
    <row r="239" spans="1:17">
      <c r="A239" s="323"/>
      <c r="B239" s="317"/>
      <c r="C239" s="319"/>
      <c r="D239" s="235"/>
      <c r="E239" s="235"/>
      <c r="F239" s="235"/>
      <c r="G239" s="235"/>
      <c r="H239" s="235"/>
      <c r="I239" s="235"/>
      <c r="J239" s="239"/>
      <c r="K239" s="239"/>
      <c r="L239" s="235"/>
      <c r="M239" s="235"/>
      <c r="N239" s="324"/>
      <c r="O239" s="325"/>
      <c r="Q239" s="208"/>
    </row>
    <row r="240" spans="1:17">
      <c r="A240" s="323"/>
      <c r="B240" s="317"/>
      <c r="C240" s="319"/>
      <c r="D240" s="235"/>
      <c r="E240" s="235"/>
      <c r="F240" s="235"/>
      <c r="G240" s="235"/>
      <c r="H240" s="235"/>
      <c r="I240" s="241"/>
      <c r="J240" s="241"/>
      <c r="K240" s="241"/>
      <c r="L240" s="241"/>
      <c r="M240" s="235"/>
      <c r="N240" s="324"/>
      <c r="O240" s="325"/>
      <c r="Q240" s="208"/>
    </row>
    <row r="241" spans="1:17">
      <c r="A241" s="323" t="s">
        <v>5007</v>
      </c>
      <c r="B241" s="317" t="s">
        <v>257</v>
      </c>
      <c r="C241" s="318"/>
      <c r="D241" s="235"/>
      <c r="E241" s="235"/>
      <c r="F241" s="235"/>
      <c r="G241" s="235"/>
      <c r="H241" s="235"/>
      <c r="I241" s="235"/>
      <c r="J241" s="235"/>
      <c r="K241" s="240"/>
      <c r="L241" s="240"/>
      <c r="M241" s="240"/>
      <c r="N241" s="324">
        <f>SUM(D243:M243)</f>
        <v>0</v>
      </c>
      <c r="O241" s="325"/>
      <c r="Q241" s="208"/>
    </row>
    <row r="242" spans="1:17">
      <c r="A242" s="323"/>
      <c r="B242" s="317"/>
      <c r="C242" s="319"/>
      <c r="D242" s="235"/>
      <c r="E242" s="235"/>
      <c r="F242" s="235"/>
      <c r="G242" s="235"/>
      <c r="H242" s="235"/>
      <c r="I242" s="235"/>
      <c r="J242" s="235"/>
      <c r="K242" s="239"/>
      <c r="L242" s="239"/>
      <c r="M242" s="235"/>
      <c r="N242" s="324"/>
      <c r="O242" s="325"/>
      <c r="Q242" s="208"/>
    </row>
    <row r="243" spans="1:17">
      <c r="A243" s="323"/>
      <c r="B243" s="317"/>
      <c r="C243" s="319"/>
      <c r="D243" s="235"/>
      <c r="E243" s="235"/>
      <c r="F243" s="235"/>
      <c r="G243" s="235"/>
      <c r="H243" s="235"/>
      <c r="I243" s="235"/>
      <c r="J243" s="235"/>
      <c r="K243" s="241"/>
      <c r="L243" s="241"/>
      <c r="M243" s="241"/>
      <c r="N243" s="324"/>
      <c r="O243" s="325"/>
      <c r="Q243" s="208"/>
    </row>
    <row r="244" spans="1:17">
      <c r="A244" s="323" t="s">
        <v>5014</v>
      </c>
      <c r="B244" s="317" t="s">
        <v>302</v>
      </c>
      <c r="C244" s="318"/>
      <c r="D244" s="235"/>
      <c r="E244" s="235"/>
      <c r="F244" s="235"/>
      <c r="G244" s="235"/>
      <c r="H244" s="235"/>
      <c r="I244" s="235"/>
      <c r="J244" s="235"/>
      <c r="K244" s="240"/>
      <c r="L244" s="240"/>
      <c r="M244" s="240"/>
      <c r="N244" s="324">
        <f>SUM(D246:M246)</f>
        <v>0</v>
      </c>
      <c r="O244" s="325"/>
      <c r="Q244" s="208"/>
    </row>
    <row r="245" spans="1:17">
      <c r="A245" s="323"/>
      <c r="B245" s="317"/>
      <c r="C245" s="319"/>
      <c r="D245" s="235"/>
      <c r="E245" s="235"/>
      <c r="F245" s="235"/>
      <c r="G245" s="235"/>
      <c r="H245" s="235"/>
      <c r="I245" s="235"/>
      <c r="J245" s="235"/>
      <c r="K245" s="235"/>
      <c r="L245" s="239"/>
      <c r="M245" s="235"/>
      <c r="N245" s="324"/>
      <c r="O245" s="325"/>
      <c r="Q245" s="208"/>
    </row>
    <row r="246" spans="1:17">
      <c r="A246" s="323"/>
      <c r="B246" s="317"/>
      <c r="C246" s="319"/>
      <c r="D246" s="235"/>
      <c r="E246" s="235"/>
      <c r="F246" s="235"/>
      <c r="G246" s="235"/>
      <c r="H246" s="235"/>
      <c r="I246" s="235"/>
      <c r="J246" s="235"/>
      <c r="K246" s="241"/>
      <c r="L246" s="241"/>
      <c r="M246" s="241"/>
      <c r="N246" s="324"/>
      <c r="O246" s="325"/>
      <c r="Q246" s="208"/>
    </row>
    <row r="247" spans="1:17">
      <c r="A247" s="323" t="s">
        <v>5020</v>
      </c>
      <c r="B247" s="317" t="s">
        <v>375</v>
      </c>
      <c r="C247" s="318"/>
      <c r="D247" s="235"/>
      <c r="E247" s="235"/>
      <c r="F247" s="235"/>
      <c r="G247" s="235"/>
      <c r="H247" s="235"/>
      <c r="I247" s="240"/>
      <c r="J247" s="240"/>
      <c r="K247" s="240"/>
      <c r="L247" s="240"/>
      <c r="M247" s="240"/>
      <c r="N247" s="324">
        <f>SUM(D249:M249)</f>
        <v>0</v>
      </c>
      <c r="O247" s="208"/>
      <c r="Q247" s="208"/>
    </row>
    <row r="248" spans="1:17">
      <c r="A248" s="323"/>
      <c r="B248" s="317"/>
      <c r="C248" s="319"/>
      <c r="D248" s="235"/>
      <c r="E248" s="235"/>
      <c r="F248" s="235"/>
      <c r="G248" s="235"/>
      <c r="H248" s="235"/>
      <c r="I248" s="235"/>
      <c r="J248" s="235"/>
      <c r="K248" s="235"/>
      <c r="L248" s="239"/>
      <c r="M248" s="235"/>
      <c r="N248" s="324"/>
      <c r="O248" s="208"/>
      <c r="Q248" s="208"/>
    </row>
    <row r="249" spans="1:17">
      <c r="A249" s="323"/>
      <c r="B249" s="317"/>
      <c r="C249" s="319"/>
      <c r="D249" s="235"/>
      <c r="E249" s="235"/>
      <c r="F249" s="235"/>
      <c r="G249" s="235"/>
      <c r="H249" s="235"/>
      <c r="I249" s="241"/>
      <c r="J249" s="241"/>
      <c r="K249" s="241"/>
      <c r="L249" s="241"/>
      <c r="M249" s="241"/>
      <c r="N249" s="324"/>
      <c r="O249" s="208"/>
      <c r="Q249" s="208"/>
    </row>
    <row r="250" spans="1:17">
      <c r="A250" s="314" t="s">
        <v>5081</v>
      </c>
      <c r="B250" s="317" t="s">
        <v>5686</v>
      </c>
      <c r="C250" s="318"/>
      <c r="D250" s="235"/>
      <c r="E250" s="235"/>
      <c r="F250" s="235"/>
      <c r="G250" s="235"/>
      <c r="H250" s="235"/>
      <c r="I250" s="240"/>
      <c r="J250" s="240"/>
      <c r="K250" s="240"/>
      <c r="L250" s="240"/>
      <c r="M250" s="240"/>
      <c r="N250" s="324">
        <f>SUM(D252:M252)</f>
        <v>0</v>
      </c>
      <c r="O250" s="325"/>
      <c r="Q250" s="208"/>
    </row>
    <row r="251" spans="1:17">
      <c r="A251" s="315"/>
      <c r="B251" s="317"/>
      <c r="C251" s="319"/>
      <c r="D251" s="235"/>
      <c r="E251" s="235"/>
      <c r="F251" s="235"/>
      <c r="G251" s="235"/>
      <c r="H251" s="235"/>
      <c r="I251" s="239"/>
      <c r="J251" s="235"/>
      <c r="K251" s="235"/>
      <c r="L251" s="235"/>
      <c r="M251" s="235"/>
      <c r="N251" s="324"/>
      <c r="O251" s="325"/>
      <c r="Q251" s="208"/>
    </row>
    <row r="252" spans="1:17">
      <c r="A252" s="316"/>
      <c r="B252" s="317"/>
      <c r="C252" s="319"/>
      <c r="D252" s="235"/>
      <c r="E252" s="235"/>
      <c r="F252" s="235"/>
      <c r="G252" s="235"/>
      <c r="H252" s="235"/>
      <c r="I252" s="241"/>
      <c r="J252" s="241"/>
      <c r="K252" s="241"/>
      <c r="L252" s="241"/>
      <c r="M252" s="241"/>
      <c r="N252" s="324"/>
      <c r="O252" s="325"/>
      <c r="Q252" s="208"/>
    </row>
    <row r="253" spans="1:17">
      <c r="A253" s="314" t="s">
        <v>5183</v>
      </c>
      <c r="B253" s="317" t="s">
        <v>2022</v>
      </c>
      <c r="C253" s="318"/>
      <c r="D253" s="235"/>
      <c r="E253" s="235"/>
      <c r="F253" s="235"/>
      <c r="G253" s="235"/>
      <c r="H253" s="235"/>
      <c r="I253" s="240"/>
      <c r="J253" s="240"/>
      <c r="K253" s="240"/>
      <c r="L253" s="240"/>
      <c r="M253" s="240"/>
      <c r="N253" s="324">
        <f>SUM(D255:M255)</f>
        <v>0</v>
      </c>
      <c r="O253" s="325"/>
      <c r="Q253" s="208"/>
    </row>
    <row r="254" spans="1:17">
      <c r="A254" s="315"/>
      <c r="B254" s="317"/>
      <c r="C254" s="319"/>
      <c r="D254" s="235"/>
      <c r="E254" s="235"/>
      <c r="F254" s="235"/>
      <c r="G254" s="235"/>
      <c r="H254" s="235"/>
      <c r="I254" s="235"/>
      <c r="J254" s="235"/>
      <c r="K254" s="235"/>
      <c r="L254" s="239"/>
      <c r="M254" s="235"/>
      <c r="N254" s="324"/>
      <c r="O254" s="325"/>
      <c r="Q254" s="208"/>
    </row>
    <row r="255" spans="1:17">
      <c r="A255" s="316"/>
      <c r="B255" s="317"/>
      <c r="C255" s="319"/>
      <c r="D255" s="235"/>
      <c r="E255" s="235"/>
      <c r="F255" s="235"/>
      <c r="G255" s="235"/>
      <c r="H255" s="235"/>
      <c r="I255" s="241"/>
      <c r="J255" s="241"/>
      <c r="K255" s="241"/>
      <c r="L255" s="241"/>
      <c r="M255" s="241"/>
      <c r="N255" s="324"/>
      <c r="O255" s="325"/>
      <c r="Q255" s="208"/>
    </row>
    <row r="256" spans="1:17">
      <c r="A256" s="323" t="s">
        <v>5191</v>
      </c>
      <c r="B256" s="317" t="s">
        <v>876</v>
      </c>
      <c r="C256" s="318"/>
      <c r="D256" s="235"/>
      <c r="E256" s="235"/>
      <c r="F256" s="235"/>
      <c r="G256" s="235"/>
      <c r="H256" s="235"/>
      <c r="I256" s="235"/>
      <c r="J256" s="235"/>
      <c r="K256" s="235"/>
      <c r="L256" s="240"/>
      <c r="M256" s="235"/>
      <c r="N256" s="324">
        <f>SUM(D258:M258)</f>
        <v>0</v>
      </c>
      <c r="O256" s="325"/>
      <c r="Q256" s="208"/>
    </row>
    <row r="257" spans="1:17">
      <c r="A257" s="323"/>
      <c r="B257" s="317"/>
      <c r="C257" s="319"/>
      <c r="D257" s="235"/>
      <c r="E257" s="235"/>
      <c r="F257" s="235"/>
      <c r="G257" s="235"/>
      <c r="H257" s="235"/>
      <c r="I257" s="235"/>
      <c r="J257" s="235"/>
      <c r="K257" s="235"/>
      <c r="L257" s="239"/>
      <c r="M257" s="235"/>
      <c r="N257" s="324"/>
      <c r="O257" s="325"/>
      <c r="Q257" s="208"/>
    </row>
    <row r="258" spans="1:17">
      <c r="A258" s="323"/>
      <c r="B258" s="317"/>
      <c r="C258" s="319"/>
      <c r="D258" s="235"/>
      <c r="E258" s="235"/>
      <c r="F258" s="235"/>
      <c r="G258" s="235"/>
      <c r="H258" s="235"/>
      <c r="I258" s="235"/>
      <c r="J258" s="235"/>
      <c r="K258" s="235"/>
      <c r="L258" s="241"/>
      <c r="M258" s="235"/>
      <c r="N258" s="324"/>
      <c r="O258" s="325"/>
      <c r="Q258" s="208"/>
    </row>
    <row r="259" spans="1:17" ht="20.25">
      <c r="A259" s="283">
        <v>11</v>
      </c>
      <c r="B259" s="79" t="s">
        <v>22</v>
      </c>
      <c r="C259" s="176">
        <f>SUM(C260:C292)</f>
        <v>0</v>
      </c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284">
        <f>SUM(N260:N292)</f>
        <v>0</v>
      </c>
      <c r="Q259" s="208"/>
    </row>
    <row r="260" spans="1:17">
      <c r="A260" s="323" t="s">
        <v>5689</v>
      </c>
      <c r="B260" s="317" t="s">
        <v>5690</v>
      </c>
      <c r="C260" s="318"/>
      <c r="D260" s="235"/>
      <c r="E260" s="235"/>
      <c r="F260" s="235"/>
      <c r="G260" s="235"/>
      <c r="H260" s="235"/>
      <c r="I260" s="240"/>
      <c r="J260" s="242"/>
      <c r="K260" s="235"/>
      <c r="L260" s="235"/>
      <c r="M260" s="235"/>
      <c r="N260" s="324">
        <f>SUM(D262:M262)</f>
        <v>0</v>
      </c>
      <c r="O260" s="325"/>
      <c r="Q260" s="208"/>
    </row>
    <row r="261" spans="1:17">
      <c r="A261" s="323"/>
      <c r="B261" s="317"/>
      <c r="C261" s="318"/>
      <c r="D261" s="235"/>
      <c r="E261" s="235"/>
      <c r="F261" s="235"/>
      <c r="G261" s="235"/>
      <c r="H261" s="235"/>
      <c r="I261" s="239"/>
      <c r="J261" s="243"/>
      <c r="K261" s="235"/>
      <c r="L261" s="235"/>
      <c r="M261" s="235"/>
      <c r="N261" s="324"/>
      <c r="O261" s="325"/>
      <c r="Q261" s="208"/>
    </row>
    <row r="262" spans="1:17">
      <c r="A262" s="323"/>
      <c r="B262" s="317"/>
      <c r="C262" s="318"/>
      <c r="D262" s="235"/>
      <c r="E262" s="235"/>
      <c r="F262" s="235"/>
      <c r="G262" s="235"/>
      <c r="H262" s="235"/>
      <c r="I262" s="241"/>
      <c r="J262" s="244"/>
      <c r="K262" s="235"/>
      <c r="L262" s="235"/>
      <c r="M262" s="235"/>
      <c r="N262" s="324"/>
      <c r="O262" s="325"/>
      <c r="Q262" s="208"/>
    </row>
    <row r="263" spans="1:17">
      <c r="A263" s="323" t="s">
        <v>5691</v>
      </c>
      <c r="B263" s="317" t="s">
        <v>2308</v>
      </c>
      <c r="C263" s="318"/>
      <c r="D263" s="235"/>
      <c r="E263" s="235"/>
      <c r="F263" s="235"/>
      <c r="G263" s="235"/>
      <c r="H263" s="235"/>
      <c r="I263" s="240"/>
      <c r="J263" s="242"/>
      <c r="K263" s="235"/>
      <c r="L263" s="235"/>
      <c r="M263" s="235"/>
      <c r="N263" s="324">
        <f>SUM(D265:M265)</f>
        <v>0</v>
      </c>
      <c r="O263" s="325"/>
      <c r="Q263" s="208"/>
    </row>
    <row r="264" spans="1:17">
      <c r="A264" s="323"/>
      <c r="B264" s="317"/>
      <c r="C264" s="319"/>
      <c r="D264" s="235"/>
      <c r="E264" s="235"/>
      <c r="F264" s="235"/>
      <c r="G264" s="235"/>
      <c r="H264" s="235"/>
      <c r="I264" s="239"/>
      <c r="J264" s="243"/>
      <c r="K264" s="235"/>
      <c r="L264" s="235"/>
      <c r="M264" s="235"/>
      <c r="N264" s="324"/>
      <c r="O264" s="325"/>
      <c r="Q264" s="208"/>
    </row>
    <row r="265" spans="1:17">
      <c r="A265" s="323"/>
      <c r="B265" s="317"/>
      <c r="C265" s="319"/>
      <c r="D265" s="235"/>
      <c r="E265" s="235"/>
      <c r="F265" s="235"/>
      <c r="G265" s="235"/>
      <c r="H265" s="235"/>
      <c r="I265" s="241"/>
      <c r="J265" s="244"/>
      <c r="K265" s="235"/>
      <c r="L265" s="235"/>
      <c r="M265" s="235"/>
      <c r="N265" s="324"/>
      <c r="O265" s="325"/>
      <c r="Q265" s="208"/>
    </row>
    <row r="266" spans="1:17">
      <c r="A266" s="323" t="s">
        <v>5692</v>
      </c>
      <c r="B266" s="317" t="s">
        <v>5693</v>
      </c>
      <c r="C266" s="318"/>
      <c r="D266" s="235"/>
      <c r="E266" s="235"/>
      <c r="F266" s="235"/>
      <c r="G266" s="235"/>
      <c r="H266" s="235"/>
      <c r="I266" s="235"/>
      <c r="J266" s="240"/>
      <c r="K266" s="240"/>
      <c r="L266" s="242"/>
      <c r="M266" s="235"/>
      <c r="N266" s="324">
        <f>SUM(D268:M268)</f>
        <v>0</v>
      </c>
      <c r="O266" s="325"/>
      <c r="Q266" s="208"/>
    </row>
    <row r="267" spans="1:17">
      <c r="A267" s="323"/>
      <c r="B267" s="317"/>
      <c r="C267" s="319"/>
      <c r="D267" s="235"/>
      <c r="E267" s="235"/>
      <c r="F267" s="235"/>
      <c r="G267" s="235"/>
      <c r="H267" s="235"/>
      <c r="I267" s="235"/>
      <c r="J267" s="239"/>
      <c r="K267" s="239"/>
      <c r="L267" s="243"/>
      <c r="M267" s="235"/>
      <c r="N267" s="324"/>
      <c r="O267" s="325"/>
      <c r="Q267" s="208"/>
    </row>
    <row r="268" spans="1:17">
      <c r="A268" s="323"/>
      <c r="B268" s="317"/>
      <c r="C268" s="319"/>
      <c r="D268" s="235"/>
      <c r="E268" s="235"/>
      <c r="F268" s="235"/>
      <c r="G268" s="235"/>
      <c r="H268" s="235"/>
      <c r="I268" s="235"/>
      <c r="J268" s="241"/>
      <c r="K268" s="241"/>
      <c r="L268" s="244"/>
      <c r="M268" s="235"/>
      <c r="N268" s="324"/>
      <c r="O268" s="325"/>
      <c r="Q268" s="208"/>
    </row>
    <row r="269" spans="1:17">
      <c r="A269" s="323" t="s">
        <v>5694</v>
      </c>
      <c r="B269" s="317" t="s">
        <v>2458</v>
      </c>
      <c r="C269" s="318"/>
      <c r="D269" s="235"/>
      <c r="E269" s="235"/>
      <c r="F269" s="235"/>
      <c r="G269" s="235"/>
      <c r="H269" s="235"/>
      <c r="I269" s="235"/>
      <c r="J269" s="235"/>
      <c r="K269" s="235"/>
      <c r="L269" s="235"/>
      <c r="M269" s="242"/>
      <c r="N269" s="324">
        <f>SUM(D271:M271)</f>
        <v>0</v>
      </c>
      <c r="O269" s="325"/>
      <c r="Q269" s="208"/>
    </row>
    <row r="270" spans="1:17">
      <c r="A270" s="323"/>
      <c r="B270" s="317"/>
      <c r="C270" s="319"/>
      <c r="D270" s="235"/>
      <c r="E270" s="235"/>
      <c r="F270" s="235"/>
      <c r="G270" s="235"/>
      <c r="H270" s="235"/>
      <c r="I270" s="235"/>
      <c r="J270" s="235"/>
      <c r="K270" s="235"/>
      <c r="L270" s="235"/>
      <c r="M270" s="243"/>
      <c r="N270" s="324"/>
      <c r="O270" s="325"/>
      <c r="Q270" s="208"/>
    </row>
    <row r="271" spans="1:17">
      <c r="A271" s="323"/>
      <c r="B271" s="317"/>
      <c r="C271" s="319"/>
      <c r="D271" s="235"/>
      <c r="E271" s="235"/>
      <c r="F271" s="235"/>
      <c r="G271" s="235"/>
      <c r="H271" s="235"/>
      <c r="I271" s="235"/>
      <c r="J271" s="235"/>
      <c r="K271" s="235"/>
      <c r="L271" s="235"/>
      <c r="M271" s="244"/>
      <c r="N271" s="324"/>
      <c r="O271" s="325"/>
      <c r="Q271" s="208"/>
    </row>
    <row r="272" spans="1:17">
      <c r="A272" s="323" t="s">
        <v>5695</v>
      </c>
      <c r="B272" s="317" t="s">
        <v>2464</v>
      </c>
      <c r="C272" s="318"/>
      <c r="D272" s="235"/>
      <c r="E272" s="235"/>
      <c r="F272" s="235"/>
      <c r="G272" s="235"/>
      <c r="H272" s="235"/>
      <c r="I272" s="235"/>
      <c r="J272" s="235"/>
      <c r="K272" s="240"/>
      <c r="L272" s="240"/>
      <c r="M272" s="242"/>
      <c r="N272" s="324">
        <f>SUM(D274:M274)</f>
        <v>0</v>
      </c>
      <c r="O272" s="325"/>
      <c r="Q272" s="208"/>
    </row>
    <row r="273" spans="1:17">
      <c r="A273" s="323"/>
      <c r="B273" s="317"/>
      <c r="C273" s="319"/>
      <c r="D273" s="235"/>
      <c r="E273" s="235"/>
      <c r="F273" s="235"/>
      <c r="G273" s="235"/>
      <c r="H273" s="235"/>
      <c r="I273" s="235"/>
      <c r="J273" s="235"/>
      <c r="K273" s="239"/>
      <c r="L273" s="239"/>
      <c r="M273" s="243"/>
      <c r="N273" s="324"/>
      <c r="O273" s="325"/>
      <c r="Q273" s="208"/>
    </row>
    <row r="274" spans="1:17">
      <c r="A274" s="323"/>
      <c r="B274" s="317"/>
      <c r="C274" s="319"/>
      <c r="D274" s="235"/>
      <c r="E274" s="235"/>
      <c r="F274" s="235"/>
      <c r="G274" s="235"/>
      <c r="H274" s="235"/>
      <c r="I274" s="235"/>
      <c r="J274" s="235"/>
      <c r="K274" s="241"/>
      <c r="L274" s="241"/>
      <c r="M274" s="244"/>
      <c r="N274" s="324"/>
      <c r="O274" s="325"/>
      <c r="Q274" s="208"/>
    </row>
    <row r="275" spans="1:17">
      <c r="A275" s="323" t="s">
        <v>5696</v>
      </c>
      <c r="B275" s="317" t="s">
        <v>2490</v>
      </c>
      <c r="C275" s="318"/>
      <c r="D275" s="235"/>
      <c r="E275" s="235"/>
      <c r="F275" s="235"/>
      <c r="G275" s="235"/>
      <c r="H275" s="235"/>
      <c r="I275" s="235"/>
      <c r="J275" s="235"/>
      <c r="K275" s="235"/>
      <c r="L275" s="235"/>
      <c r="M275" s="242"/>
      <c r="N275" s="324">
        <f>SUM(D277:M277)</f>
        <v>0</v>
      </c>
      <c r="O275" s="325"/>
      <c r="Q275" s="208"/>
    </row>
    <row r="276" spans="1:17">
      <c r="A276" s="323"/>
      <c r="B276" s="317"/>
      <c r="C276" s="319"/>
      <c r="D276" s="235"/>
      <c r="E276" s="235"/>
      <c r="F276" s="235"/>
      <c r="G276" s="235"/>
      <c r="H276" s="235"/>
      <c r="I276" s="235"/>
      <c r="J276" s="235"/>
      <c r="K276" s="235"/>
      <c r="L276" s="235"/>
      <c r="M276" s="243"/>
      <c r="N276" s="324"/>
      <c r="O276" s="325"/>
      <c r="Q276" s="208"/>
    </row>
    <row r="277" spans="1:17">
      <c r="A277" s="323"/>
      <c r="B277" s="317"/>
      <c r="C277" s="319"/>
      <c r="D277" s="235"/>
      <c r="E277" s="235"/>
      <c r="F277" s="235"/>
      <c r="G277" s="235"/>
      <c r="H277" s="235"/>
      <c r="I277" s="235"/>
      <c r="J277" s="235"/>
      <c r="K277" s="235"/>
      <c r="L277" s="235"/>
      <c r="M277" s="244"/>
      <c r="N277" s="324"/>
      <c r="O277" s="325"/>
      <c r="Q277" s="208"/>
    </row>
    <row r="278" spans="1:17">
      <c r="A278" s="323" t="s">
        <v>5697</v>
      </c>
      <c r="B278" s="317" t="s">
        <v>2507</v>
      </c>
      <c r="C278" s="318"/>
      <c r="D278" s="235"/>
      <c r="E278" s="235"/>
      <c r="F278" s="235"/>
      <c r="G278" s="235"/>
      <c r="H278" s="235"/>
      <c r="I278" s="235"/>
      <c r="J278" s="240"/>
      <c r="K278" s="240"/>
      <c r="L278" s="242"/>
      <c r="M278" s="235"/>
      <c r="N278" s="324">
        <f>SUM(D280:M280)</f>
        <v>0</v>
      </c>
      <c r="O278" s="325"/>
      <c r="Q278" s="208"/>
    </row>
    <row r="279" spans="1:17">
      <c r="A279" s="323"/>
      <c r="B279" s="317"/>
      <c r="C279" s="319"/>
      <c r="D279" s="235"/>
      <c r="E279" s="235"/>
      <c r="F279" s="235"/>
      <c r="G279" s="235"/>
      <c r="H279" s="235"/>
      <c r="I279" s="235"/>
      <c r="J279" s="235"/>
      <c r="K279" s="239"/>
      <c r="L279" s="243"/>
      <c r="M279" s="235"/>
      <c r="N279" s="324"/>
      <c r="O279" s="325"/>
      <c r="Q279" s="208"/>
    </row>
    <row r="280" spans="1:17">
      <c r="A280" s="323"/>
      <c r="B280" s="317"/>
      <c r="C280" s="319"/>
      <c r="D280" s="235"/>
      <c r="E280" s="235"/>
      <c r="F280" s="235"/>
      <c r="G280" s="235"/>
      <c r="H280" s="235"/>
      <c r="I280" s="235"/>
      <c r="J280" s="241"/>
      <c r="K280" s="241"/>
      <c r="L280" s="244"/>
      <c r="M280" s="235"/>
      <c r="N280" s="324"/>
      <c r="O280" s="325"/>
      <c r="Q280" s="208"/>
    </row>
    <row r="281" spans="1:17">
      <c r="A281" s="323" t="s">
        <v>5698</v>
      </c>
      <c r="B281" s="317" t="s">
        <v>2527</v>
      </c>
      <c r="C281" s="318"/>
      <c r="D281" s="235"/>
      <c r="E281" s="235"/>
      <c r="F281" s="235"/>
      <c r="G281" s="235"/>
      <c r="H281" s="235"/>
      <c r="I281" s="235"/>
      <c r="J281" s="235"/>
      <c r="K281" s="235"/>
      <c r="L281" s="235"/>
      <c r="M281" s="242"/>
      <c r="N281" s="324">
        <f>SUM(D283:M283)</f>
        <v>0</v>
      </c>
      <c r="O281" s="325"/>
      <c r="Q281" s="208"/>
    </row>
    <row r="282" spans="1:17">
      <c r="A282" s="323"/>
      <c r="B282" s="317"/>
      <c r="C282" s="319"/>
      <c r="D282" s="235"/>
      <c r="E282" s="235"/>
      <c r="F282" s="235"/>
      <c r="G282" s="235"/>
      <c r="H282" s="235"/>
      <c r="I282" s="235"/>
      <c r="J282" s="235"/>
      <c r="K282" s="235"/>
      <c r="L282" s="235"/>
      <c r="M282" s="243"/>
      <c r="N282" s="324"/>
      <c r="O282" s="325"/>
      <c r="Q282" s="208"/>
    </row>
    <row r="283" spans="1:17">
      <c r="A283" s="323"/>
      <c r="B283" s="317"/>
      <c r="C283" s="319"/>
      <c r="D283" s="235"/>
      <c r="E283" s="235"/>
      <c r="F283" s="235"/>
      <c r="G283" s="235"/>
      <c r="H283" s="235"/>
      <c r="I283" s="235"/>
      <c r="J283" s="235"/>
      <c r="K283" s="235"/>
      <c r="L283" s="235"/>
      <c r="M283" s="244"/>
      <c r="N283" s="324"/>
      <c r="O283" s="325"/>
      <c r="Q283" s="208"/>
    </row>
    <row r="284" spans="1:17">
      <c r="A284" s="323" t="s">
        <v>5699</v>
      </c>
      <c r="B284" s="317" t="s">
        <v>2535</v>
      </c>
      <c r="C284" s="318"/>
      <c r="D284" s="235"/>
      <c r="E284" s="235"/>
      <c r="F284" s="235"/>
      <c r="G284" s="235"/>
      <c r="H284" s="240"/>
      <c r="I284" s="242"/>
      <c r="J284" s="242"/>
      <c r="K284" s="242"/>
      <c r="L284" s="235"/>
      <c r="M284" s="235"/>
      <c r="N284" s="324">
        <f>SUM(D286:M286)</f>
        <v>0</v>
      </c>
      <c r="O284" s="325"/>
      <c r="Q284" s="208"/>
    </row>
    <row r="285" spans="1:17">
      <c r="A285" s="323"/>
      <c r="B285" s="317"/>
      <c r="C285" s="319"/>
      <c r="D285" s="235"/>
      <c r="E285" s="235"/>
      <c r="F285" s="235"/>
      <c r="G285" s="235"/>
      <c r="H285" s="239"/>
      <c r="I285" s="243"/>
      <c r="J285" s="243"/>
      <c r="K285" s="245"/>
      <c r="L285" s="235"/>
      <c r="M285" s="235"/>
      <c r="N285" s="324"/>
      <c r="O285" s="325"/>
      <c r="Q285" s="208"/>
    </row>
    <row r="286" spans="1:17">
      <c r="A286" s="323"/>
      <c r="B286" s="317"/>
      <c r="C286" s="319"/>
      <c r="D286" s="235"/>
      <c r="E286" s="235"/>
      <c r="F286" s="235"/>
      <c r="G286" s="235"/>
      <c r="H286" s="241"/>
      <c r="I286" s="244"/>
      <c r="J286" s="244"/>
      <c r="K286" s="244"/>
      <c r="L286" s="235"/>
      <c r="M286" s="235"/>
      <c r="N286" s="324"/>
      <c r="O286" s="325"/>
    </row>
    <row r="287" spans="1:17">
      <c r="A287" s="323" t="s">
        <v>5538</v>
      </c>
      <c r="B287" s="317" t="s">
        <v>2575</v>
      </c>
      <c r="C287" s="318"/>
      <c r="D287" s="235"/>
      <c r="E287" s="235"/>
      <c r="F287" s="235"/>
      <c r="G287" s="235"/>
      <c r="H287" s="235"/>
      <c r="I287" s="235"/>
      <c r="J287" s="240"/>
      <c r="K287" s="240"/>
      <c r="L287" s="242"/>
      <c r="M287" s="235"/>
      <c r="N287" s="324">
        <f>SUM(D289:M289)</f>
        <v>0</v>
      </c>
      <c r="O287" s="325"/>
      <c r="Q287" s="208"/>
    </row>
    <row r="288" spans="1:17">
      <c r="A288" s="323"/>
      <c r="B288" s="317"/>
      <c r="C288" s="319"/>
      <c r="D288" s="235"/>
      <c r="E288" s="235"/>
      <c r="F288" s="235"/>
      <c r="G288" s="235"/>
      <c r="H288" s="235"/>
      <c r="I288" s="235"/>
      <c r="J288" s="235"/>
      <c r="K288" s="239"/>
      <c r="L288" s="243"/>
      <c r="M288" s="235"/>
      <c r="N288" s="324"/>
      <c r="O288" s="325"/>
      <c r="Q288" s="208"/>
    </row>
    <row r="289" spans="1:15">
      <c r="A289" s="323"/>
      <c r="B289" s="317"/>
      <c r="C289" s="319"/>
      <c r="D289" s="235"/>
      <c r="E289" s="235"/>
      <c r="F289" s="235"/>
      <c r="G289" s="235"/>
      <c r="H289" s="235"/>
      <c r="I289" s="235"/>
      <c r="J289" s="241"/>
      <c r="K289" s="241"/>
      <c r="L289" s="244"/>
      <c r="M289" s="235"/>
      <c r="N289" s="324"/>
      <c r="O289" s="325"/>
    </row>
    <row r="290" spans="1:15">
      <c r="A290" s="323" t="s">
        <v>5542</v>
      </c>
      <c r="B290" s="317" t="s">
        <v>5700</v>
      </c>
      <c r="C290" s="318"/>
      <c r="D290" s="235"/>
      <c r="E290" s="235"/>
      <c r="F290" s="235"/>
      <c r="G290" s="235"/>
      <c r="H290" s="235"/>
      <c r="I290" s="235"/>
      <c r="J290" s="235"/>
      <c r="K290" s="235"/>
      <c r="L290" s="240"/>
      <c r="M290" s="242"/>
      <c r="N290" s="324">
        <f>SUM(D292:M292)</f>
        <v>0</v>
      </c>
      <c r="O290" s="325"/>
    </row>
    <row r="291" spans="1:15">
      <c r="A291" s="323"/>
      <c r="B291" s="317"/>
      <c r="C291" s="319"/>
      <c r="D291" s="235"/>
      <c r="E291" s="235"/>
      <c r="F291" s="235"/>
      <c r="G291" s="235"/>
      <c r="H291" s="235"/>
      <c r="I291" s="235"/>
      <c r="J291" s="235"/>
      <c r="K291" s="235"/>
      <c r="L291" s="239"/>
      <c r="M291" s="243"/>
      <c r="N291" s="324"/>
      <c r="O291" s="325"/>
    </row>
    <row r="292" spans="1:15">
      <c r="A292" s="323"/>
      <c r="B292" s="317"/>
      <c r="C292" s="319"/>
      <c r="D292" s="235"/>
      <c r="E292" s="235"/>
      <c r="F292" s="235"/>
      <c r="G292" s="235"/>
      <c r="H292" s="235"/>
      <c r="I292" s="235"/>
      <c r="J292" s="235"/>
      <c r="K292" s="235"/>
      <c r="L292" s="241"/>
      <c r="M292" s="244"/>
      <c r="N292" s="324"/>
      <c r="O292" s="325"/>
    </row>
    <row r="293" spans="1:15">
      <c r="A293" s="323">
        <v>12</v>
      </c>
      <c r="B293" s="317" t="s">
        <v>23</v>
      </c>
      <c r="C293" s="318"/>
      <c r="D293" s="235"/>
      <c r="E293" s="235"/>
      <c r="F293" s="235"/>
      <c r="G293" s="240"/>
      <c r="H293" s="240"/>
      <c r="I293" s="235"/>
      <c r="J293" s="235"/>
      <c r="K293" s="235"/>
      <c r="L293" s="235"/>
      <c r="M293" s="235"/>
      <c r="N293" s="324">
        <f>SUM(D295:M295)</f>
        <v>0</v>
      </c>
      <c r="O293" s="325"/>
    </row>
    <row r="294" spans="1:15">
      <c r="A294" s="323"/>
      <c r="B294" s="317"/>
      <c r="C294" s="319"/>
      <c r="D294" s="235"/>
      <c r="E294" s="235"/>
      <c r="F294" s="235"/>
      <c r="G294" s="239"/>
      <c r="H294" s="235"/>
      <c r="I294" s="235"/>
      <c r="J294" s="235"/>
      <c r="K294" s="235"/>
      <c r="L294" s="235"/>
      <c r="M294" s="235"/>
      <c r="N294" s="324"/>
      <c r="O294" s="325"/>
    </row>
    <row r="295" spans="1:15">
      <c r="A295" s="323"/>
      <c r="B295" s="317"/>
      <c r="C295" s="319"/>
      <c r="D295" s="235"/>
      <c r="E295" s="235"/>
      <c r="F295" s="235"/>
      <c r="G295" s="241"/>
      <c r="H295" s="241"/>
      <c r="I295" s="235"/>
      <c r="J295" s="235"/>
      <c r="K295" s="235"/>
      <c r="L295" s="235"/>
      <c r="M295" s="235"/>
      <c r="N295" s="324"/>
      <c r="O295" s="325"/>
    </row>
    <row r="296" spans="1:15" ht="20.25">
      <c r="A296" s="283">
        <v>13</v>
      </c>
      <c r="B296" s="79" t="s">
        <v>24</v>
      </c>
      <c r="C296" s="176">
        <f>C297+C300</f>
        <v>0</v>
      </c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284">
        <f>SUM(N297:N302)</f>
        <v>0</v>
      </c>
    </row>
    <row r="297" spans="1:15">
      <c r="A297" s="323" t="s">
        <v>5646</v>
      </c>
      <c r="B297" s="317" t="s">
        <v>1965</v>
      </c>
      <c r="C297" s="318"/>
      <c r="D297" s="235"/>
      <c r="E297" s="235"/>
      <c r="F297" s="235"/>
      <c r="G297" s="240"/>
      <c r="H297" s="240"/>
      <c r="I297" s="235"/>
      <c r="J297" s="235"/>
      <c r="K297" s="235"/>
      <c r="L297" s="235"/>
      <c r="M297" s="235"/>
      <c r="N297" s="324">
        <f>SUM(D299:M299)</f>
        <v>0</v>
      </c>
      <c r="O297" s="325"/>
    </row>
    <row r="298" spans="1:15">
      <c r="A298" s="323"/>
      <c r="B298" s="317"/>
      <c r="C298" s="319"/>
      <c r="D298" s="235"/>
      <c r="E298" s="235"/>
      <c r="F298" s="235"/>
      <c r="G298" s="239"/>
      <c r="H298" s="239"/>
      <c r="I298" s="235"/>
      <c r="J298" s="235"/>
      <c r="K298" s="235"/>
      <c r="L298" s="235"/>
      <c r="M298" s="235"/>
      <c r="N298" s="324"/>
      <c r="O298" s="325"/>
    </row>
    <row r="299" spans="1:15">
      <c r="A299" s="323"/>
      <c r="B299" s="317"/>
      <c r="C299" s="319"/>
      <c r="D299" s="235"/>
      <c r="E299" s="235"/>
      <c r="F299" s="235"/>
      <c r="G299" s="241"/>
      <c r="H299" s="241"/>
      <c r="I299" s="235"/>
      <c r="J299" s="235"/>
      <c r="K299" s="235"/>
      <c r="L299" s="235"/>
      <c r="M299" s="235"/>
      <c r="N299" s="324"/>
      <c r="O299" s="325"/>
    </row>
    <row r="300" spans="1:15">
      <c r="A300" s="323" t="s">
        <v>5643</v>
      </c>
      <c r="B300" s="317" t="s">
        <v>76</v>
      </c>
      <c r="C300" s="318"/>
      <c r="D300" s="235"/>
      <c r="E300" s="235"/>
      <c r="F300" s="235"/>
      <c r="G300" s="240"/>
      <c r="H300" s="240"/>
      <c r="I300" s="240"/>
      <c r="J300" s="235"/>
      <c r="K300" s="235"/>
      <c r="L300" s="235"/>
      <c r="M300" s="235"/>
      <c r="N300" s="324">
        <f>SUM(D302:M302)</f>
        <v>0</v>
      </c>
      <c r="O300" s="325"/>
    </row>
    <row r="301" spans="1:15">
      <c r="A301" s="323"/>
      <c r="B301" s="317"/>
      <c r="C301" s="319"/>
      <c r="D301" s="235"/>
      <c r="E301" s="235"/>
      <c r="F301" s="235"/>
      <c r="G301" s="235"/>
      <c r="H301" s="239"/>
      <c r="I301" s="239"/>
      <c r="J301" s="235"/>
      <c r="K301" s="235"/>
      <c r="L301" s="235"/>
      <c r="M301" s="235"/>
      <c r="N301" s="324"/>
      <c r="O301" s="325"/>
    </row>
    <row r="302" spans="1:15">
      <c r="A302" s="323"/>
      <c r="B302" s="317"/>
      <c r="C302" s="319"/>
      <c r="D302" s="235"/>
      <c r="E302" s="235"/>
      <c r="F302" s="235"/>
      <c r="G302" s="241"/>
      <c r="H302" s="241"/>
      <c r="I302" s="241"/>
      <c r="J302" s="235"/>
      <c r="K302" s="235"/>
      <c r="L302" s="235"/>
      <c r="M302" s="235"/>
      <c r="N302" s="324"/>
      <c r="O302" s="325"/>
    </row>
    <row r="303" spans="1:15" ht="20.25">
      <c r="A303" s="283">
        <v>14</v>
      </c>
      <c r="B303" s="79" t="s">
        <v>26</v>
      </c>
      <c r="C303" s="176">
        <f>SUM(C304:C309)</f>
        <v>0</v>
      </c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284">
        <f>SUM(N304:N309)</f>
        <v>0</v>
      </c>
    </row>
    <row r="304" spans="1:15">
      <c r="A304" s="314" t="s">
        <v>5647</v>
      </c>
      <c r="B304" s="317" t="s">
        <v>1965</v>
      </c>
      <c r="C304" s="318"/>
      <c r="D304" s="235"/>
      <c r="E304" s="235"/>
      <c r="F304" s="235"/>
      <c r="G304" s="240"/>
      <c r="H304" s="240"/>
      <c r="I304" s="235"/>
      <c r="J304" s="235"/>
      <c r="K304" s="235"/>
      <c r="L304" s="235"/>
      <c r="M304" s="235"/>
      <c r="N304" s="324">
        <f>SUM(D306:M306)</f>
        <v>0</v>
      </c>
      <c r="O304" s="325"/>
    </row>
    <row r="305" spans="1:15">
      <c r="A305" s="315"/>
      <c r="B305" s="317"/>
      <c r="C305" s="319"/>
      <c r="D305" s="235"/>
      <c r="E305" s="235"/>
      <c r="F305" s="235"/>
      <c r="G305" s="239"/>
      <c r="H305" s="239"/>
      <c r="I305" s="235"/>
      <c r="J305" s="235"/>
      <c r="K305" s="235"/>
      <c r="L305" s="235"/>
      <c r="M305" s="235"/>
      <c r="N305" s="324"/>
      <c r="O305" s="325"/>
    </row>
    <row r="306" spans="1:15">
      <c r="A306" s="316"/>
      <c r="B306" s="317"/>
      <c r="C306" s="319"/>
      <c r="D306" s="235"/>
      <c r="E306" s="235"/>
      <c r="F306" s="235"/>
      <c r="G306" s="241"/>
      <c r="H306" s="241"/>
      <c r="I306" s="235"/>
      <c r="J306" s="235"/>
      <c r="K306" s="235"/>
      <c r="L306" s="235"/>
      <c r="M306" s="235"/>
      <c r="N306" s="324"/>
      <c r="O306" s="325"/>
    </row>
    <row r="307" spans="1:15">
      <c r="A307" s="323" t="s">
        <v>5648</v>
      </c>
      <c r="B307" s="317" t="s">
        <v>76</v>
      </c>
      <c r="C307" s="318"/>
      <c r="D307" s="235"/>
      <c r="E307" s="235"/>
      <c r="F307" s="235"/>
      <c r="G307" s="240"/>
      <c r="H307" s="240"/>
      <c r="I307" s="240"/>
      <c r="J307" s="235"/>
      <c r="K307" s="235"/>
      <c r="L307" s="235"/>
      <c r="M307" s="235"/>
      <c r="N307" s="324">
        <f>SUM(D309:M309)</f>
        <v>0</v>
      </c>
      <c r="O307" s="325"/>
    </row>
    <row r="308" spans="1:15">
      <c r="A308" s="323"/>
      <c r="B308" s="317"/>
      <c r="C308" s="319"/>
      <c r="D308" s="235"/>
      <c r="E308" s="235"/>
      <c r="F308" s="235"/>
      <c r="G308" s="235"/>
      <c r="H308" s="239"/>
      <c r="I308" s="239"/>
      <c r="J308" s="235"/>
      <c r="K308" s="235"/>
      <c r="L308" s="235"/>
      <c r="M308" s="235"/>
      <c r="N308" s="324"/>
      <c r="O308" s="325"/>
    </row>
    <row r="309" spans="1:15">
      <c r="A309" s="323"/>
      <c r="B309" s="317"/>
      <c r="C309" s="319"/>
      <c r="D309" s="235"/>
      <c r="E309" s="235"/>
      <c r="F309" s="235"/>
      <c r="G309" s="241"/>
      <c r="H309" s="241"/>
      <c r="I309" s="241"/>
      <c r="J309" s="235"/>
      <c r="K309" s="235"/>
      <c r="L309" s="235"/>
      <c r="M309" s="235"/>
      <c r="N309" s="324"/>
      <c r="O309" s="325"/>
    </row>
    <row r="310" spans="1:15" ht="20.25">
      <c r="A310" s="283">
        <v>15</v>
      </c>
      <c r="B310" s="79" t="s">
        <v>28</v>
      </c>
      <c r="C310" s="176">
        <f>C311</f>
        <v>0</v>
      </c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284">
        <f>SUM(N311)</f>
        <v>0</v>
      </c>
      <c r="O310" s="208"/>
    </row>
    <row r="311" spans="1:15">
      <c r="A311" s="314" t="s">
        <v>5649</v>
      </c>
      <c r="B311" s="317" t="s">
        <v>28</v>
      </c>
      <c r="C311" s="318"/>
      <c r="D311" s="235"/>
      <c r="E311" s="235"/>
      <c r="F311" s="235"/>
      <c r="G311" s="240"/>
      <c r="H311" s="240"/>
      <c r="I311" s="235"/>
      <c r="J311" s="235"/>
      <c r="K311" s="235"/>
      <c r="L311" s="235"/>
      <c r="M311" s="242"/>
      <c r="N311" s="320">
        <f>SUM(D313:M313)</f>
        <v>0</v>
      </c>
      <c r="O311" s="208"/>
    </row>
    <row r="312" spans="1:15">
      <c r="A312" s="315"/>
      <c r="B312" s="317"/>
      <c r="C312" s="319"/>
      <c r="D312" s="235"/>
      <c r="E312" s="235"/>
      <c r="F312" s="235"/>
      <c r="G312" s="235"/>
      <c r="H312" s="235"/>
      <c r="I312" s="235"/>
      <c r="J312" s="235"/>
      <c r="K312" s="235"/>
      <c r="L312" s="235"/>
      <c r="M312" s="243"/>
      <c r="N312" s="321"/>
      <c r="O312" s="208"/>
    </row>
    <row r="313" spans="1:15">
      <c r="A313" s="316"/>
      <c r="B313" s="317"/>
      <c r="C313" s="319"/>
      <c r="D313" s="235"/>
      <c r="E313" s="235"/>
      <c r="F313" s="235"/>
      <c r="G313" s="241"/>
      <c r="H313" s="241"/>
      <c r="I313" s="235"/>
      <c r="J313" s="235"/>
      <c r="K313" s="235"/>
      <c r="L313" s="235"/>
      <c r="M313" s="244"/>
      <c r="N313" s="322"/>
      <c r="O313" s="208"/>
    </row>
    <row r="314" spans="1:15" ht="20.25">
      <c r="A314" s="283">
        <v>16</v>
      </c>
      <c r="B314" s="79" t="s">
        <v>29</v>
      </c>
      <c r="C314" s="176">
        <f>C315</f>
        <v>0</v>
      </c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284">
        <f>N315</f>
        <v>0</v>
      </c>
      <c r="O314" s="208"/>
    </row>
    <row r="315" spans="1:15">
      <c r="A315" s="314" t="s">
        <v>5650</v>
      </c>
      <c r="B315" s="317" t="s">
        <v>29</v>
      </c>
      <c r="C315" s="318"/>
      <c r="D315" s="235"/>
      <c r="E315" s="235"/>
      <c r="F315" s="235"/>
      <c r="G315" s="240"/>
      <c r="H315" s="240"/>
      <c r="I315" s="235"/>
      <c r="J315" s="235"/>
      <c r="K315" s="235"/>
      <c r="L315" s="235"/>
      <c r="M315" s="242"/>
      <c r="N315" s="324">
        <f>SUM(D317:M317)</f>
        <v>0</v>
      </c>
      <c r="O315" s="208"/>
    </row>
    <row r="316" spans="1:15">
      <c r="A316" s="315"/>
      <c r="B316" s="317"/>
      <c r="C316" s="319"/>
      <c r="D316" s="235"/>
      <c r="E316" s="235"/>
      <c r="F316" s="235"/>
      <c r="G316" s="235"/>
      <c r="H316" s="235"/>
      <c r="I316" s="235"/>
      <c r="J316" s="235"/>
      <c r="K316" s="235"/>
      <c r="L316" s="235"/>
      <c r="M316" s="243"/>
      <c r="N316" s="324"/>
      <c r="O316" s="208"/>
    </row>
    <row r="317" spans="1:15">
      <c r="A317" s="316"/>
      <c r="B317" s="317"/>
      <c r="C317" s="319"/>
      <c r="D317" s="189"/>
      <c r="E317" s="189"/>
      <c r="F317" s="189"/>
      <c r="G317" s="78"/>
      <c r="H317" s="78"/>
      <c r="I317" s="189"/>
      <c r="J317" s="189"/>
      <c r="K317" s="189"/>
      <c r="L317" s="189"/>
      <c r="M317" s="183"/>
      <c r="N317" s="324"/>
      <c r="O317" s="208"/>
    </row>
    <row r="318" spans="1:15">
      <c r="A318" s="340" t="s">
        <v>5701</v>
      </c>
      <c r="B318" s="341"/>
      <c r="C318" s="80"/>
      <c r="D318" s="167">
        <f t="shared" ref="D318:M318" si="0">D12+D317+D289+D286+D283+D280+D277+D274+D271+D268+D265+D262+D258+D255+D252+D246+D243+D240+D237+D234+D231+D228+D225+D221+D218+D215+D209+D206+D203+D200+D197+D194+D191+D188+D185+D181+D178+D175+D172+D169+D166+D163+D160+D156+D153+D150+D144+D141+D138+D135+D132+D129+D126+D123+D120+D117+D113+D110+D107+D104+D98+D95+D92+D89+D86+D83+D80+D77+D74+D71+D67+D61+D58+D55+D52+D49+D46+D43+D40+D37+D34+D31+D28+D25+D21+D18+D15+D302+D299+D295+D249+D212+D147+D101+D64+D306+D309+D292+D313</f>
        <v>0</v>
      </c>
      <c r="E318" s="167">
        <f t="shared" si="0"/>
        <v>0</v>
      </c>
      <c r="F318" s="167">
        <f t="shared" si="0"/>
        <v>0</v>
      </c>
      <c r="G318" s="167">
        <f t="shared" si="0"/>
        <v>0</v>
      </c>
      <c r="H318" s="167">
        <f t="shared" si="0"/>
        <v>0</v>
      </c>
      <c r="I318" s="167">
        <f t="shared" si="0"/>
        <v>0</v>
      </c>
      <c r="J318" s="167">
        <f t="shared" si="0"/>
        <v>0</v>
      </c>
      <c r="K318" s="167">
        <f t="shared" si="0"/>
        <v>0</v>
      </c>
      <c r="L318" s="167">
        <f t="shared" si="0"/>
        <v>0</v>
      </c>
      <c r="M318" s="167">
        <f t="shared" si="0"/>
        <v>0</v>
      </c>
      <c r="N318" s="286">
        <f>SUM(D318:M318)</f>
        <v>0</v>
      </c>
    </row>
    <row r="319" spans="1:15">
      <c r="A319" s="285" t="s">
        <v>5702</v>
      </c>
      <c r="B319" s="191"/>
      <c r="C319" s="80">
        <f>C10+C310+C303+C296+C259+C222+C182+C157+C114+C68+C13+C16+C19+C22+C314+C293</f>
        <v>0</v>
      </c>
      <c r="D319" s="81">
        <f>D318</f>
        <v>0</v>
      </c>
      <c r="E319" s="81">
        <f t="shared" ref="E319:M319" si="1">E318+D319</f>
        <v>0</v>
      </c>
      <c r="F319" s="81">
        <f t="shared" si="1"/>
        <v>0</v>
      </c>
      <c r="G319" s="81">
        <f t="shared" si="1"/>
        <v>0</v>
      </c>
      <c r="H319" s="81">
        <f t="shared" si="1"/>
        <v>0</v>
      </c>
      <c r="I319" s="81">
        <f t="shared" si="1"/>
        <v>0</v>
      </c>
      <c r="J319" s="81">
        <f t="shared" si="1"/>
        <v>0</v>
      </c>
      <c r="K319" s="81">
        <f t="shared" si="1"/>
        <v>0</v>
      </c>
      <c r="L319" s="81">
        <f t="shared" si="1"/>
        <v>0</v>
      </c>
      <c r="M319" s="81">
        <f t="shared" si="1"/>
        <v>0</v>
      </c>
      <c r="N319" s="287">
        <f>M319</f>
        <v>0</v>
      </c>
    </row>
    <row r="320" spans="1:15" ht="312" customHeight="1" thickBot="1">
      <c r="A320" s="309" t="s">
        <v>5778</v>
      </c>
      <c r="B320" s="310"/>
      <c r="C320" s="310"/>
      <c r="D320" s="310"/>
      <c r="E320" s="310"/>
      <c r="F320" s="310"/>
      <c r="G320" s="310"/>
      <c r="H320" s="310"/>
      <c r="I320" s="310"/>
      <c r="J320" s="310"/>
      <c r="K320" s="310"/>
      <c r="L320" s="310"/>
      <c r="M320" s="310"/>
      <c r="N320" s="311"/>
    </row>
    <row r="321" ht="16.5" thickTop="1"/>
  </sheetData>
  <mergeCells count="507">
    <mergeCell ref="N72:N74"/>
    <mergeCell ref="C3:L3"/>
    <mergeCell ref="C4:L4"/>
    <mergeCell ref="C5:L5"/>
    <mergeCell ref="C6:L6"/>
    <mergeCell ref="C44:C46"/>
    <mergeCell ref="N44:N46"/>
    <mergeCell ref="A53:A55"/>
    <mergeCell ref="B53:B55"/>
    <mergeCell ref="C53:C55"/>
    <mergeCell ref="N53:N55"/>
    <mergeCell ref="A62:A64"/>
    <mergeCell ref="B62:B64"/>
    <mergeCell ref="C62:C64"/>
    <mergeCell ref="N62:N64"/>
    <mergeCell ref="N69:N71"/>
    <mergeCell ref="A318:B318"/>
    <mergeCell ref="D9:M9"/>
    <mergeCell ref="B105:B107"/>
    <mergeCell ref="N293:N295"/>
    <mergeCell ref="A29:A31"/>
    <mergeCell ref="B29:B31"/>
    <mergeCell ref="C29:C31"/>
    <mergeCell ref="A315:A317"/>
    <mergeCell ref="B315:B317"/>
    <mergeCell ref="C315:C317"/>
    <mergeCell ref="N315:N317"/>
    <mergeCell ref="A78:A80"/>
    <mergeCell ref="A65:A67"/>
    <mergeCell ref="B65:B67"/>
    <mergeCell ref="C65:C67"/>
    <mergeCell ref="N65:N67"/>
    <mergeCell ref="C35:C37"/>
    <mergeCell ref="N35:N37"/>
    <mergeCell ref="A44:A46"/>
    <mergeCell ref="B44:B46"/>
    <mergeCell ref="N105:N107"/>
    <mergeCell ref="A111:A113"/>
    <mergeCell ref="B111:B113"/>
    <mergeCell ref="C111:C113"/>
    <mergeCell ref="O69:O71"/>
    <mergeCell ref="O290:O292"/>
    <mergeCell ref="O293:O295"/>
    <mergeCell ref="O297:O299"/>
    <mergeCell ref="O87:O89"/>
    <mergeCell ref="A90:A92"/>
    <mergeCell ref="B90:B92"/>
    <mergeCell ref="C90:C92"/>
    <mergeCell ref="N90:N92"/>
    <mergeCell ref="O90:O92"/>
    <mergeCell ref="A93:A95"/>
    <mergeCell ref="B93:B95"/>
    <mergeCell ref="C93:C95"/>
    <mergeCell ref="N93:N95"/>
    <mergeCell ref="O93:O95"/>
    <mergeCell ref="A87:A89"/>
    <mergeCell ref="B87:B89"/>
    <mergeCell ref="C87:C89"/>
    <mergeCell ref="N87:N89"/>
    <mergeCell ref="B78:B80"/>
    <mergeCell ref="A72:A74"/>
    <mergeCell ref="B72:B74"/>
    <mergeCell ref="C72:C74"/>
    <mergeCell ref="C105:C107"/>
    <mergeCell ref="O300:O302"/>
    <mergeCell ref="O304:O306"/>
    <mergeCell ref="O307:O309"/>
    <mergeCell ref="A300:A302"/>
    <mergeCell ref="B300:B302"/>
    <mergeCell ref="C300:C302"/>
    <mergeCell ref="N300:N302"/>
    <mergeCell ref="A290:A292"/>
    <mergeCell ref="B290:B292"/>
    <mergeCell ref="C290:C292"/>
    <mergeCell ref="N290:N292"/>
    <mergeCell ref="A304:A306"/>
    <mergeCell ref="B304:B306"/>
    <mergeCell ref="C304:C306"/>
    <mergeCell ref="N304:N306"/>
    <mergeCell ref="A293:A295"/>
    <mergeCell ref="B293:B295"/>
    <mergeCell ref="C293:C295"/>
    <mergeCell ref="A2:N2"/>
    <mergeCell ref="A7:A8"/>
    <mergeCell ref="B7:B8"/>
    <mergeCell ref="C7:C8"/>
    <mergeCell ref="A10:A12"/>
    <mergeCell ref="B10:B12"/>
    <mergeCell ref="C10:C12"/>
    <mergeCell ref="N10:N12"/>
    <mergeCell ref="A19:A21"/>
    <mergeCell ref="B19:B21"/>
    <mergeCell ref="C19:C21"/>
    <mergeCell ref="N19:N21"/>
    <mergeCell ref="O10:O12"/>
    <mergeCell ref="A13:A15"/>
    <mergeCell ref="B13:B15"/>
    <mergeCell ref="C13:C15"/>
    <mergeCell ref="N13:N15"/>
    <mergeCell ref="O13:O15"/>
    <mergeCell ref="A16:A18"/>
    <mergeCell ref="B16:B18"/>
    <mergeCell ref="C16:C18"/>
    <mergeCell ref="N16:N18"/>
    <mergeCell ref="O16:O18"/>
    <mergeCell ref="O29:O31"/>
    <mergeCell ref="A32:A34"/>
    <mergeCell ref="B32:B34"/>
    <mergeCell ref="C32:C34"/>
    <mergeCell ref="N32:N34"/>
    <mergeCell ref="O32:O34"/>
    <mergeCell ref="O19:O21"/>
    <mergeCell ref="A23:A25"/>
    <mergeCell ref="B23:B25"/>
    <mergeCell ref="C23:C25"/>
    <mergeCell ref="N23:N25"/>
    <mergeCell ref="O23:O25"/>
    <mergeCell ref="A26:A28"/>
    <mergeCell ref="B26:B28"/>
    <mergeCell ref="C26:C28"/>
    <mergeCell ref="N26:N28"/>
    <mergeCell ref="O26:O28"/>
    <mergeCell ref="N29:N31"/>
    <mergeCell ref="O35:O37"/>
    <mergeCell ref="A38:A40"/>
    <mergeCell ref="B38:B40"/>
    <mergeCell ref="C38:C40"/>
    <mergeCell ref="N38:N40"/>
    <mergeCell ref="O38:O40"/>
    <mergeCell ref="A41:A43"/>
    <mergeCell ref="B41:B43"/>
    <mergeCell ref="C41:C43"/>
    <mergeCell ref="N41:N43"/>
    <mergeCell ref="O41:O43"/>
    <mergeCell ref="A35:A37"/>
    <mergeCell ref="B35:B37"/>
    <mergeCell ref="O44:O46"/>
    <mergeCell ref="A47:A49"/>
    <mergeCell ref="B47:B49"/>
    <mergeCell ref="C47:C49"/>
    <mergeCell ref="N47:N49"/>
    <mergeCell ref="O47:O49"/>
    <mergeCell ref="A50:A52"/>
    <mergeCell ref="B50:B52"/>
    <mergeCell ref="C50:C52"/>
    <mergeCell ref="N50:N52"/>
    <mergeCell ref="O50:O52"/>
    <mergeCell ref="O53:O55"/>
    <mergeCell ref="A56:A58"/>
    <mergeCell ref="B56:B58"/>
    <mergeCell ref="C56:C58"/>
    <mergeCell ref="N56:N58"/>
    <mergeCell ref="O56:O58"/>
    <mergeCell ref="A59:A61"/>
    <mergeCell ref="B59:B61"/>
    <mergeCell ref="C59:C61"/>
    <mergeCell ref="N59:N61"/>
    <mergeCell ref="O59:O61"/>
    <mergeCell ref="O62:O64"/>
    <mergeCell ref="C81:C83"/>
    <mergeCell ref="N81:N83"/>
    <mergeCell ref="O81:O83"/>
    <mergeCell ref="A84:A86"/>
    <mergeCell ref="B84:B86"/>
    <mergeCell ref="C84:C86"/>
    <mergeCell ref="N84:N86"/>
    <mergeCell ref="O84:O86"/>
    <mergeCell ref="C78:C80"/>
    <mergeCell ref="N78:N80"/>
    <mergeCell ref="O78:O80"/>
    <mergeCell ref="A81:A83"/>
    <mergeCell ref="B81:B83"/>
    <mergeCell ref="O72:O74"/>
    <mergeCell ref="A75:A77"/>
    <mergeCell ref="B75:B77"/>
    <mergeCell ref="C75:C77"/>
    <mergeCell ref="N75:N77"/>
    <mergeCell ref="O75:O77"/>
    <mergeCell ref="O65:O67"/>
    <mergeCell ref="A69:A71"/>
    <mergeCell ref="B69:B71"/>
    <mergeCell ref="C69:C71"/>
    <mergeCell ref="O105:O107"/>
    <mergeCell ref="A108:A110"/>
    <mergeCell ref="B108:B110"/>
    <mergeCell ref="C108:C110"/>
    <mergeCell ref="N108:N110"/>
    <mergeCell ref="O108:O110"/>
    <mergeCell ref="O96:O98"/>
    <mergeCell ref="A102:A104"/>
    <mergeCell ref="B102:B104"/>
    <mergeCell ref="C102:C104"/>
    <mergeCell ref="N102:N104"/>
    <mergeCell ref="O102:O104"/>
    <mergeCell ref="A99:A101"/>
    <mergeCell ref="B99:B101"/>
    <mergeCell ref="C99:C101"/>
    <mergeCell ref="N99:N101"/>
    <mergeCell ref="O99:O101"/>
    <mergeCell ref="A96:A98"/>
    <mergeCell ref="B96:B98"/>
    <mergeCell ref="C96:C98"/>
    <mergeCell ref="N96:N98"/>
    <mergeCell ref="A105:A107"/>
    <mergeCell ref="N111:N113"/>
    <mergeCell ref="O111:O113"/>
    <mergeCell ref="A115:A117"/>
    <mergeCell ref="B115:B117"/>
    <mergeCell ref="C115:C117"/>
    <mergeCell ref="N115:N117"/>
    <mergeCell ref="O115:O117"/>
    <mergeCell ref="A118:A120"/>
    <mergeCell ref="B118:B120"/>
    <mergeCell ref="C118:C120"/>
    <mergeCell ref="N118:N120"/>
    <mergeCell ref="O118:O120"/>
    <mergeCell ref="A121:A123"/>
    <mergeCell ref="B121:B123"/>
    <mergeCell ref="C121:C123"/>
    <mergeCell ref="N121:N123"/>
    <mergeCell ref="O121:O123"/>
    <mergeCell ref="A124:A126"/>
    <mergeCell ref="B124:B126"/>
    <mergeCell ref="C124:C126"/>
    <mergeCell ref="N124:N126"/>
    <mergeCell ref="O124:O126"/>
    <mergeCell ref="A127:A129"/>
    <mergeCell ref="B127:B129"/>
    <mergeCell ref="C127:C129"/>
    <mergeCell ref="N127:N129"/>
    <mergeCell ref="O127:O129"/>
    <mergeCell ref="A130:A132"/>
    <mergeCell ref="B130:B132"/>
    <mergeCell ref="C130:C132"/>
    <mergeCell ref="N130:N132"/>
    <mergeCell ref="O130:O132"/>
    <mergeCell ref="A133:A135"/>
    <mergeCell ref="B133:B135"/>
    <mergeCell ref="C133:C135"/>
    <mergeCell ref="N133:N135"/>
    <mergeCell ref="O133:O135"/>
    <mergeCell ref="A136:A138"/>
    <mergeCell ref="B136:B138"/>
    <mergeCell ref="C136:C138"/>
    <mergeCell ref="N136:N138"/>
    <mergeCell ref="O136:O138"/>
    <mergeCell ref="A139:A141"/>
    <mergeCell ref="B139:B141"/>
    <mergeCell ref="C139:C141"/>
    <mergeCell ref="N139:N141"/>
    <mergeCell ref="O139:O141"/>
    <mergeCell ref="A142:A144"/>
    <mergeCell ref="B142:B144"/>
    <mergeCell ref="C142:C144"/>
    <mergeCell ref="N142:N144"/>
    <mergeCell ref="O142:O144"/>
    <mergeCell ref="A148:A150"/>
    <mergeCell ref="B148:B150"/>
    <mergeCell ref="C148:C150"/>
    <mergeCell ref="N148:N150"/>
    <mergeCell ref="O148:O150"/>
    <mergeCell ref="O145:O147"/>
    <mergeCell ref="A145:A147"/>
    <mergeCell ref="B145:B147"/>
    <mergeCell ref="C145:C147"/>
    <mergeCell ref="N145:N147"/>
    <mergeCell ref="A151:A153"/>
    <mergeCell ref="B151:B153"/>
    <mergeCell ref="C151:C153"/>
    <mergeCell ref="N151:N153"/>
    <mergeCell ref="O151:O153"/>
    <mergeCell ref="A154:A156"/>
    <mergeCell ref="B154:B156"/>
    <mergeCell ref="C154:C156"/>
    <mergeCell ref="N154:N156"/>
    <mergeCell ref="O154:O156"/>
    <mergeCell ref="A158:A160"/>
    <mergeCell ref="B158:B160"/>
    <mergeCell ref="C158:C160"/>
    <mergeCell ref="N158:N160"/>
    <mergeCell ref="O158:O160"/>
    <mergeCell ref="A161:A163"/>
    <mergeCell ref="B161:B163"/>
    <mergeCell ref="C161:C163"/>
    <mergeCell ref="N161:N163"/>
    <mergeCell ref="O161:O163"/>
    <mergeCell ref="A164:A166"/>
    <mergeCell ref="B164:B166"/>
    <mergeCell ref="C164:C166"/>
    <mergeCell ref="N164:N166"/>
    <mergeCell ref="O164:O166"/>
    <mergeCell ref="A167:A169"/>
    <mergeCell ref="B167:B169"/>
    <mergeCell ref="C167:C169"/>
    <mergeCell ref="N167:N169"/>
    <mergeCell ref="O167:O169"/>
    <mergeCell ref="A170:A172"/>
    <mergeCell ref="B170:B172"/>
    <mergeCell ref="C170:C172"/>
    <mergeCell ref="N170:N172"/>
    <mergeCell ref="O170:O172"/>
    <mergeCell ref="A173:A175"/>
    <mergeCell ref="B173:B175"/>
    <mergeCell ref="C173:C175"/>
    <mergeCell ref="N173:N175"/>
    <mergeCell ref="O173:O175"/>
    <mergeCell ref="A176:A178"/>
    <mergeCell ref="B176:B178"/>
    <mergeCell ref="C176:C178"/>
    <mergeCell ref="N176:N178"/>
    <mergeCell ref="O176:O178"/>
    <mergeCell ref="A179:A181"/>
    <mergeCell ref="B179:B181"/>
    <mergeCell ref="C179:C181"/>
    <mergeCell ref="N179:N181"/>
    <mergeCell ref="O179:O181"/>
    <mergeCell ref="A183:A185"/>
    <mergeCell ref="B183:B185"/>
    <mergeCell ref="C183:C185"/>
    <mergeCell ref="N183:N185"/>
    <mergeCell ref="O183:O185"/>
    <mergeCell ref="A186:A188"/>
    <mergeCell ref="B186:B188"/>
    <mergeCell ref="C186:C188"/>
    <mergeCell ref="N186:N188"/>
    <mergeCell ref="O186:O188"/>
    <mergeCell ref="A189:A191"/>
    <mergeCell ref="B189:B191"/>
    <mergeCell ref="C189:C191"/>
    <mergeCell ref="N189:N191"/>
    <mergeCell ref="O189:O191"/>
    <mergeCell ref="A192:A194"/>
    <mergeCell ref="B192:B194"/>
    <mergeCell ref="C192:C194"/>
    <mergeCell ref="N192:N194"/>
    <mergeCell ref="O192:O194"/>
    <mergeCell ref="A195:A197"/>
    <mergeCell ref="B195:B197"/>
    <mergeCell ref="C195:C197"/>
    <mergeCell ref="N195:N197"/>
    <mergeCell ref="O195:O197"/>
    <mergeCell ref="A198:A200"/>
    <mergeCell ref="B198:B200"/>
    <mergeCell ref="C198:C200"/>
    <mergeCell ref="N198:N200"/>
    <mergeCell ref="O198:O200"/>
    <mergeCell ref="A201:A203"/>
    <mergeCell ref="B201:B203"/>
    <mergeCell ref="C201:C203"/>
    <mergeCell ref="N201:N203"/>
    <mergeCell ref="O201:O203"/>
    <mergeCell ref="A204:A206"/>
    <mergeCell ref="B204:B206"/>
    <mergeCell ref="C204:C206"/>
    <mergeCell ref="N204:N206"/>
    <mergeCell ref="O204:O206"/>
    <mergeCell ref="A207:A209"/>
    <mergeCell ref="B207:B209"/>
    <mergeCell ref="C207:C209"/>
    <mergeCell ref="N207:N209"/>
    <mergeCell ref="O207:O209"/>
    <mergeCell ref="A213:A215"/>
    <mergeCell ref="B213:B215"/>
    <mergeCell ref="C213:C215"/>
    <mergeCell ref="N213:N215"/>
    <mergeCell ref="O213:O215"/>
    <mergeCell ref="A216:A218"/>
    <mergeCell ref="B216:B218"/>
    <mergeCell ref="C216:C218"/>
    <mergeCell ref="N216:N218"/>
    <mergeCell ref="O216:O218"/>
    <mergeCell ref="N210:N212"/>
    <mergeCell ref="A219:A221"/>
    <mergeCell ref="B219:B221"/>
    <mergeCell ref="C219:C221"/>
    <mergeCell ref="N219:N221"/>
    <mergeCell ref="O219:O221"/>
    <mergeCell ref="A210:A212"/>
    <mergeCell ref="B210:B212"/>
    <mergeCell ref="C210:C212"/>
    <mergeCell ref="A229:A231"/>
    <mergeCell ref="B229:B231"/>
    <mergeCell ref="C229:C231"/>
    <mergeCell ref="N229:N231"/>
    <mergeCell ref="O229:O231"/>
    <mergeCell ref="A232:A234"/>
    <mergeCell ref="B232:B234"/>
    <mergeCell ref="C232:C234"/>
    <mergeCell ref="N232:N234"/>
    <mergeCell ref="O232:O234"/>
    <mergeCell ref="A223:A225"/>
    <mergeCell ref="B223:B225"/>
    <mergeCell ref="C223:C225"/>
    <mergeCell ref="N223:N225"/>
    <mergeCell ref="O223:O225"/>
    <mergeCell ref="A226:A228"/>
    <mergeCell ref="B226:B228"/>
    <mergeCell ref="C226:C228"/>
    <mergeCell ref="N226:N228"/>
    <mergeCell ref="O226:O228"/>
    <mergeCell ref="O235:O237"/>
    <mergeCell ref="A235:A237"/>
    <mergeCell ref="B235:B237"/>
    <mergeCell ref="C235:C237"/>
    <mergeCell ref="N244:N246"/>
    <mergeCell ref="O244:O246"/>
    <mergeCell ref="A244:A246"/>
    <mergeCell ref="B244:B246"/>
    <mergeCell ref="C244:C246"/>
    <mergeCell ref="C238:C240"/>
    <mergeCell ref="N238:N240"/>
    <mergeCell ref="O238:O240"/>
    <mergeCell ref="A241:A243"/>
    <mergeCell ref="B241:B243"/>
    <mergeCell ref="C241:C243"/>
    <mergeCell ref="N241:N243"/>
    <mergeCell ref="O241:O243"/>
    <mergeCell ref="B238:B240"/>
    <mergeCell ref="C250:C252"/>
    <mergeCell ref="N250:N252"/>
    <mergeCell ref="N247:N249"/>
    <mergeCell ref="C247:C249"/>
    <mergeCell ref="O256:O258"/>
    <mergeCell ref="O250:O252"/>
    <mergeCell ref="A253:A255"/>
    <mergeCell ref="B253:B255"/>
    <mergeCell ref="C253:C255"/>
    <mergeCell ref="N253:N255"/>
    <mergeCell ref="O253:O255"/>
    <mergeCell ref="B250:B252"/>
    <mergeCell ref="A247:A249"/>
    <mergeCell ref="B247:B249"/>
    <mergeCell ref="A256:A258"/>
    <mergeCell ref="B256:B258"/>
    <mergeCell ref="C256:C258"/>
    <mergeCell ref="N256:N258"/>
    <mergeCell ref="C278:C280"/>
    <mergeCell ref="N278:N280"/>
    <mergeCell ref="A278:A280"/>
    <mergeCell ref="B278:B280"/>
    <mergeCell ref="O263:O265"/>
    <mergeCell ref="O272:O274"/>
    <mergeCell ref="A275:A277"/>
    <mergeCell ref="B275:B277"/>
    <mergeCell ref="C275:C277"/>
    <mergeCell ref="N275:N277"/>
    <mergeCell ref="A266:A268"/>
    <mergeCell ref="B269:B271"/>
    <mergeCell ref="C269:C271"/>
    <mergeCell ref="O269:O271"/>
    <mergeCell ref="A272:A274"/>
    <mergeCell ref="B272:B274"/>
    <mergeCell ref="A263:A265"/>
    <mergeCell ref="B263:B265"/>
    <mergeCell ref="C263:C265"/>
    <mergeCell ref="N263:N265"/>
    <mergeCell ref="C272:C274"/>
    <mergeCell ref="N272:N274"/>
    <mergeCell ref="N269:N271"/>
    <mergeCell ref="O260:O262"/>
    <mergeCell ref="A269:A271"/>
    <mergeCell ref="A250:A252"/>
    <mergeCell ref="O275:O277"/>
    <mergeCell ref="B266:B268"/>
    <mergeCell ref="C266:C268"/>
    <mergeCell ref="N266:N268"/>
    <mergeCell ref="O266:O268"/>
    <mergeCell ref="N287:N289"/>
    <mergeCell ref="O287:O289"/>
    <mergeCell ref="A284:A286"/>
    <mergeCell ref="B284:B286"/>
    <mergeCell ref="C284:C286"/>
    <mergeCell ref="N284:N286"/>
    <mergeCell ref="A287:A289"/>
    <mergeCell ref="B287:B289"/>
    <mergeCell ref="C287:C289"/>
    <mergeCell ref="O284:O286"/>
    <mergeCell ref="O278:O280"/>
    <mergeCell ref="A281:A283"/>
    <mergeCell ref="B281:B283"/>
    <mergeCell ref="C281:C283"/>
    <mergeCell ref="N281:N283"/>
    <mergeCell ref="O281:O283"/>
    <mergeCell ref="A320:N320"/>
    <mergeCell ref="A1:N1"/>
    <mergeCell ref="A3:B3"/>
    <mergeCell ref="A4:B4"/>
    <mergeCell ref="A5:B5"/>
    <mergeCell ref="A6:B6"/>
    <mergeCell ref="A311:A313"/>
    <mergeCell ref="B311:B313"/>
    <mergeCell ref="C311:C313"/>
    <mergeCell ref="N311:N313"/>
    <mergeCell ref="A297:A299"/>
    <mergeCell ref="B297:B299"/>
    <mergeCell ref="C297:C299"/>
    <mergeCell ref="N297:N299"/>
    <mergeCell ref="A307:A309"/>
    <mergeCell ref="B307:B309"/>
    <mergeCell ref="C307:C309"/>
    <mergeCell ref="N307:N309"/>
    <mergeCell ref="A260:A262"/>
    <mergeCell ref="B260:B262"/>
    <mergeCell ref="C260:C262"/>
    <mergeCell ref="N260:N262"/>
    <mergeCell ref="N235:N237"/>
    <mergeCell ref="A238:A240"/>
  </mergeCells>
  <pageMargins left="0.51180555555555596" right="0.51180555555555596" top="0.78680555555555598" bottom="0.78680555555555598" header="0.511811023622047" footer="0.511811023622047"/>
  <pageSetup paperSize="9" scale="37" fitToHeight="1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5"/>
  <sheetViews>
    <sheetView view="pageBreakPreview" topLeftCell="A6" zoomScaleNormal="100" zoomScaleSheetLayoutView="100" workbookViewId="0">
      <selection activeCell="F9" sqref="F9:I13"/>
    </sheetView>
  </sheetViews>
  <sheetFormatPr defaultRowHeight="14.25"/>
  <cols>
    <col min="3" max="3" width="45.25" customWidth="1"/>
    <col min="8" max="8" width="46.375" customWidth="1"/>
    <col min="9" max="9" width="7.625" bestFit="1" customWidth="1"/>
  </cols>
  <sheetData>
    <row r="1" spans="1:22">
      <c r="A1" s="345" t="s">
        <v>5746</v>
      </c>
      <c r="B1" s="346"/>
      <c r="C1" s="346"/>
      <c r="D1" s="347"/>
      <c r="E1" s="210"/>
      <c r="F1" s="345" t="s">
        <v>5746</v>
      </c>
      <c r="G1" s="346"/>
      <c r="H1" s="346"/>
      <c r="I1" s="347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</row>
    <row r="2" spans="1:22">
      <c r="A2" s="348"/>
      <c r="B2" s="349"/>
      <c r="C2" s="349"/>
      <c r="D2" s="350"/>
      <c r="E2" s="210"/>
      <c r="F2" s="348"/>
      <c r="G2" s="349"/>
      <c r="H2" s="349"/>
      <c r="I2" s="35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2" ht="24" thickBot="1">
      <c r="A3" s="351"/>
      <c r="B3" s="352"/>
      <c r="C3" s="352"/>
      <c r="D3" s="353"/>
      <c r="E3" s="210"/>
      <c r="F3" s="351"/>
      <c r="G3" s="352"/>
      <c r="H3" s="352"/>
      <c r="I3" s="353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1"/>
    </row>
    <row r="4" spans="1:22">
      <c r="A4" s="354" t="s">
        <v>5747</v>
      </c>
      <c r="B4" s="355"/>
      <c r="C4" s="355"/>
      <c r="D4" s="356"/>
      <c r="E4" s="210"/>
      <c r="F4" s="354" t="s">
        <v>5748</v>
      </c>
      <c r="G4" s="355"/>
      <c r="H4" s="355"/>
      <c r="I4" s="356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</row>
    <row r="5" spans="1:22">
      <c r="A5" s="357"/>
      <c r="B5" s="358"/>
      <c r="C5" s="358"/>
      <c r="D5" s="359"/>
      <c r="E5" s="210"/>
      <c r="F5" s="357"/>
      <c r="G5" s="358"/>
      <c r="H5" s="358"/>
      <c r="I5" s="359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</row>
    <row r="6" spans="1:22">
      <c r="A6" s="357"/>
      <c r="B6" s="358"/>
      <c r="C6" s="358"/>
      <c r="D6" s="359"/>
      <c r="E6" s="210"/>
      <c r="F6" s="357"/>
      <c r="G6" s="358"/>
      <c r="H6" s="358"/>
      <c r="I6" s="359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pans="1:22">
      <c r="A7" s="357"/>
      <c r="B7" s="358"/>
      <c r="C7" s="358"/>
      <c r="D7" s="359"/>
      <c r="E7" s="210"/>
      <c r="F7" s="357"/>
      <c r="G7" s="358"/>
      <c r="H7" s="358"/>
      <c r="I7" s="359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</row>
    <row r="8" spans="1:22" ht="15" thickBot="1">
      <c r="A8" s="360"/>
      <c r="B8" s="361"/>
      <c r="C8" s="361"/>
      <c r="D8" s="362"/>
      <c r="E8" s="210"/>
      <c r="F8" s="360"/>
      <c r="G8" s="361"/>
      <c r="H8" s="361"/>
      <c r="I8" s="362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</row>
    <row r="9" spans="1:22" ht="15" thickTop="1">
      <c r="A9" s="363" t="s">
        <v>5749</v>
      </c>
      <c r="B9" s="364"/>
      <c r="C9" s="364"/>
      <c r="D9" s="365"/>
      <c r="E9" s="212"/>
      <c r="F9" s="363" t="s">
        <v>5750</v>
      </c>
      <c r="G9" s="364"/>
      <c r="H9" s="364"/>
      <c r="I9" s="365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</row>
    <row r="10" spans="1:22">
      <c r="A10" s="366"/>
      <c r="B10" s="367"/>
      <c r="C10" s="367"/>
      <c r="D10" s="368"/>
      <c r="E10" s="212"/>
      <c r="F10" s="366"/>
      <c r="G10" s="367"/>
      <c r="H10" s="367"/>
      <c r="I10" s="368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</row>
    <row r="11" spans="1:22">
      <c r="A11" s="366"/>
      <c r="B11" s="367"/>
      <c r="C11" s="367"/>
      <c r="D11" s="368"/>
      <c r="E11" s="212"/>
      <c r="F11" s="366"/>
      <c r="G11" s="367"/>
      <c r="H11" s="367"/>
      <c r="I11" s="368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</row>
    <row r="12" spans="1:22">
      <c r="A12" s="366"/>
      <c r="B12" s="367"/>
      <c r="C12" s="367"/>
      <c r="D12" s="368"/>
      <c r="E12" s="212"/>
      <c r="F12" s="366"/>
      <c r="G12" s="367"/>
      <c r="H12" s="367"/>
      <c r="I12" s="368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</row>
    <row r="13" spans="1:22" ht="15" thickBot="1">
      <c r="A13" s="369"/>
      <c r="B13" s="370"/>
      <c r="C13" s="370"/>
      <c r="D13" s="371"/>
      <c r="E13" s="212"/>
      <c r="F13" s="369"/>
      <c r="G13" s="370"/>
      <c r="H13" s="370"/>
      <c r="I13" s="371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</row>
    <row r="14" spans="1:22" ht="17.25" thickTop="1">
      <c r="A14" s="214"/>
      <c r="B14" s="213"/>
      <c r="C14" s="213"/>
      <c r="D14" s="215"/>
      <c r="E14" s="213"/>
      <c r="F14" s="214"/>
      <c r="G14" s="213"/>
      <c r="H14" s="213"/>
      <c r="I14" s="215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</row>
    <row r="15" spans="1:22">
      <c r="A15" s="216" t="s">
        <v>5751</v>
      </c>
      <c r="B15" s="372" t="s">
        <v>5752</v>
      </c>
      <c r="C15" s="373"/>
      <c r="D15" s="217">
        <f>SUM(D16:D19)</f>
        <v>0</v>
      </c>
      <c r="E15" s="218"/>
      <c r="F15" s="216" t="s">
        <v>5751</v>
      </c>
      <c r="G15" s="372" t="s">
        <v>5752</v>
      </c>
      <c r="H15" s="373"/>
      <c r="I15" s="217">
        <f>SUM(I16:I19)</f>
        <v>0</v>
      </c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</row>
    <row r="16" spans="1:22" ht="16.5">
      <c r="A16" s="219" t="s">
        <v>5753</v>
      </c>
      <c r="B16" s="220" t="s">
        <v>5754</v>
      </c>
      <c r="C16" s="221"/>
      <c r="D16" s="222"/>
      <c r="E16" s="223"/>
      <c r="F16" s="219" t="s">
        <v>5753</v>
      </c>
      <c r="G16" s="220" t="s">
        <v>5754</v>
      </c>
      <c r="H16" s="221"/>
      <c r="I16" s="222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</row>
    <row r="17" spans="1:22" ht="16.5">
      <c r="A17" s="219" t="s">
        <v>5755</v>
      </c>
      <c r="B17" s="220" t="s">
        <v>5756</v>
      </c>
      <c r="C17" s="221"/>
      <c r="D17" s="222"/>
      <c r="E17" s="223"/>
      <c r="F17" s="219" t="s">
        <v>5755</v>
      </c>
      <c r="G17" s="220" t="s">
        <v>5756</v>
      </c>
      <c r="H17" s="221"/>
      <c r="I17" s="222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</row>
    <row r="18" spans="1:22" ht="16.5">
      <c r="A18" s="219" t="s">
        <v>5757</v>
      </c>
      <c r="B18" s="220" t="s">
        <v>5758</v>
      </c>
      <c r="C18" s="221"/>
      <c r="D18" s="222"/>
      <c r="E18" s="223"/>
      <c r="F18" s="219" t="s">
        <v>5757</v>
      </c>
      <c r="G18" s="220" t="s">
        <v>5758</v>
      </c>
      <c r="H18" s="221"/>
      <c r="I18" s="222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</row>
    <row r="19" spans="1:22" ht="16.5">
      <c r="A19" s="219" t="s">
        <v>5759</v>
      </c>
      <c r="B19" s="223" t="s">
        <v>5760</v>
      </c>
      <c r="C19" s="223"/>
      <c r="D19" s="224"/>
      <c r="E19" s="223"/>
      <c r="F19" s="219" t="s">
        <v>5759</v>
      </c>
      <c r="G19" s="223" t="s">
        <v>5760</v>
      </c>
      <c r="H19" s="223"/>
      <c r="I19" s="224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</row>
    <row r="20" spans="1:22" ht="16.5">
      <c r="A20" s="216" t="s">
        <v>5761</v>
      </c>
      <c r="B20" s="372" t="s">
        <v>5762</v>
      </c>
      <c r="C20" s="373"/>
      <c r="D20" s="217">
        <f>SUM(D21:D24)</f>
        <v>0</v>
      </c>
      <c r="E20" s="218"/>
      <c r="F20" s="216" t="s">
        <v>5761</v>
      </c>
      <c r="G20" s="372" t="s">
        <v>5762</v>
      </c>
      <c r="H20" s="373"/>
      <c r="I20" s="217">
        <f>SUM(I21:I24)</f>
        <v>0</v>
      </c>
      <c r="J20" s="210"/>
      <c r="K20" s="225"/>
      <c r="L20" s="225"/>
      <c r="M20" s="225"/>
      <c r="N20" s="225"/>
      <c r="O20" s="225"/>
      <c r="P20" s="210"/>
      <c r="Q20" s="210"/>
      <c r="R20" s="210"/>
      <c r="S20" s="210"/>
      <c r="T20" s="210"/>
      <c r="U20" s="210"/>
      <c r="V20" s="210"/>
    </row>
    <row r="21" spans="1:22" ht="16.5">
      <c r="A21" s="219" t="s">
        <v>2784</v>
      </c>
      <c r="B21" s="221" t="s">
        <v>5763</v>
      </c>
      <c r="C21" s="226"/>
      <c r="D21" s="227"/>
      <c r="E21" s="223"/>
      <c r="F21" s="219" t="s">
        <v>2784</v>
      </c>
      <c r="G21" s="221" t="s">
        <v>5763</v>
      </c>
      <c r="H21" s="226"/>
      <c r="I21" s="227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</row>
    <row r="22" spans="1:22" ht="16.5">
      <c r="A22" s="219" t="s">
        <v>5764</v>
      </c>
      <c r="B22" s="221" t="s">
        <v>5765</v>
      </c>
      <c r="C22" s="226"/>
      <c r="D22" s="222"/>
      <c r="E22" s="223"/>
      <c r="F22" s="219" t="s">
        <v>5764</v>
      </c>
      <c r="G22" s="221" t="s">
        <v>5765</v>
      </c>
      <c r="H22" s="226"/>
      <c r="I22" s="222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</row>
    <row r="23" spans="1:22" ht="16.5">
      <c r="A23" s="219" t="s">
        <v>5766</v>
      </c>
      <c r="B23" s="221" t="s">
        <v>5767</v>
      </c>
      <c r="C23" s="226"/>
      <c r="D23" s="222"/>
      <c r="E23" s="223"/>
      <c r="F23" s="219" t="s">
        <v>5766</v>
      </c>
      <c r="G23" s="221" t="s">
        <v>5767</v>
      </c>
      <c r="H23" s="226"/>
      <c r="I23" s="222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</row>
    <row r="24" spans="1:22" ht="16.5">
      <c r="A24" s="219" t="s">
        <v>5768</v>
      </c>
      <c r="B24" s="221" t="s">
        <v>5769</v>
      </c>
      <c r="C24" s="226"/>
      <c r="D24" s="222"/>
      <c r="E24" s="223"/>
      <c r="F24" s="219" t="s">
        <v>5768</v>
      </c>
      <c r="G24" s="221" t="s">
        <v>5769</v>
      </c>
      <c r="H24" s="226"/>
      <c r="I24" s="222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</row>
    <row r="25" spans="1:22" ht="16.5">
      <c r="A25" s="216" t="s">
        <v>5770</v>
      </c>
      <c r="B25" s="372" t="s">
        <v>5771</v>
      </c>
      <c r="C25" s="373"/>
      <c r="D25" s="217">
        <f>SUM(D26)</f>
        <v>0</v>
      </c>
      <c r="E25" s="218"/>
      <c r="F25" s="216" t="s">
        <v>5770</v>
      </c>
      <c r="G25" s="372" t="s">
        <v>5771</v>
      </c>
      <c r="H25" s="373"/>
      <c r="I25" s="217">
        <f>SUM(I26)</f>
        <v>0</v>
      </c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</row>
    <row r="26" spans="1:22" ht="16.5">
      <c r="A26" s="219" t="s">
        <v>2786</v>
      </c>
      <c r="B26" s="221" t="s">
        <v>5772</v>
      </c>
      <c r="C26" s="226"/>
      <c r="D26" s="227"/>
      <c r="E26" s="223"/>
      <c r="F26" s="219" t="s">
        <v>2786</v>
      </c>
      <c r="G26" s="221" t="s">
        <v>5772</v>
      </c>
      <c r="H26" s="226"/>
      <c r="I26" s="227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</row>
    <row r="27" spans="1:22" ht="17.25" thickBot="1">
      <c r="A27" s="228"/>
      <c r="B27" s="223"/>
      <c r="C27" s="223"/>
      <c r="D27" s="229"/>
      <c r="E27" s="223"/>
      <c r="F27" s="228"/>
      <c r="G27" s="223"/>
      <c r="H27" s="223"/>
      <c r="I27" s="229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</row>
    <row r="28" spans="1:22" ht="15.75" thickBot="1">
      <c r="A28" s="230" t="s">
        <v>5773</v>
      </c>
      <c r="B28" s="375" t="s">
        <v>5774</v>
      </c>
      <c r="C28" s="376"/>
      <c r="D28" s="231">
        <f>SUM(D15+D20+D25)%</f>
        <v>0</v>
      </c>
      <c r="E28" s="232"/>
      <c r="F28" s="230" t="s">
        <v>5773</v>
      </c>
      <c r="G28" s="375" t="s">
        <v>5774</v>
      </c>
      <c r="H28" s="376"/>
      <c r="I28" s="231">
        <f>SUM(I15+I20+I25)</f>
        <v>0</v>
      </c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</row>
    <row r="29" spans="1:22" ht="27" customHeight="1">
      <c r="A29" s="377" t="s">
        <v>5775</v>
      </c>
      <c r="B29" s="378"/>
      <c r="C29" s="378"/>
      <c r="D29" s="379"/>
      <c r="E29" s="233"/>
      <c r="F29" s="377" t="s">
        <v>5775</v>
      </c>
      <c r="G29" s="378"/>
      <c r="H29" s="378"/>
      <c r="I29" s="379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</row>
    <row r="30" spans="1:22" ht="16.5">
      <c r="A30" s="380"/>
      <c r="B30" s="381"/>
      <c r="C30" s="381"/>
      <c r="D30" s="382"/>
      <c r="E30" s="213"/>
      <c r="F30" s="380"/>
      <c r="G30" s="381"/>
      <c r="H30" s="381"/>
      <c r="I30" s="382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</row>
    <row r="31" spans="1:22" ht="48.6" customHeight="1" thickBot="1">
      <c r="A31" s="383"/>
      <c r="B31" s="384"/>
      <c r="C31" s="384"/>
      <c r="D31" s="385"/>
      <c r="E31" s="213"/>
      <c r="F31" s="383"/>
      <c r="G31" s="384"/>
      <c r="H31" s="384"/>
      <c r="I31" s="385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</row>
    <row r="32" spans="1:22">
      <c r="A32" s="210"/>
      <c r="B32" s="210"/>
      <c r="C32" s="210"/>
      <c r="D32" s="210"/>
      <c r="E32" s="374"/>
      <c r="F32" s="374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</row>
    <row r="33" spans="1:22" ht="15" thickBot="1">
      <c r="A33" s="210"/>
      <c r="B33" s="210"/>
      <c r="C33" s="210"/>
      <c r="D33" s="210"/>
      <c r="E33" s="374"/>
      <c r="F33" s="374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</row>
    <row r="34" spans="1:22">
      <c r="A34" s="345" t="s">
        <v>5776</v>
      </c>
      <c r="B34" s="346"/>
      <c r="C34" s="346"/>
      <c r="D34" s="347"/>
      <c r="E34" s="210"/>
      <c r="F34" s="345" t="s">
        <v>5776</v>
      </c>
      <c r="G34" s="346"/>
      <c r="H34" s="346"/>
      <c r="I34" s="347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</row>
    <row r="35" spans="1:22">
      <c r="A35" s="348"/>
      <c r="B35" s="349"/>
      <c r="C35" s="349"/>
      <c r="D35" s="350"/>
      <c r="E35" s="210"/>
      <c r="F35" s="348"/>
      <c r="G35" s="349"/>
      <c r="H35" s="349"/>
      <c r="I35" s="35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</row>
    <row r="36" spans="1:22" ht="15" thickBot="1">
      <c r="A36" s="351"/>
      <c r="B36" s="352"/>
      <c r="C36" s="352"/>
      <c r="D36" s="353"/>
      <c r="E36" s="210"/>
      <c r="F36" s="351"/>
      <c r="G36" s="352"/>
      <c r="H36" s="352"/>
      <c r="I36" s="353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</row>
    <row r="37" spans="1:22">
      <c r="A37" s="354" t="s">
        <v>5747</v>
      </c>
      <c r="B37" s="355"/>
      <c r="C37" s="355"/>
      <c r="D37" s="356"/>
      <c r="E37" s="210"/>
      <c r="F37" s="354" t="s">
        <v>5748</v>
      </c>
      <c r="G37" s="355"/>
      <c r="H37" s="355"/>
      <c r="I37" s="356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</row>
    <row r="38" spans="1:22">
      <c r="A38" s="357"/>
      <c r="B38" s="358"/>
      <c r="C38" s="358"/>
      <c r="D38" s="359"/>
      <c r="E38" s="210"/>
      <c r="F38" s="357"/>
      <c r="G38" s="358"/>
      <c r="H38" s="358"/>
      <c r="I38" s="359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</row>
    <row r="39" spans="1:22">
      <c r="A39" s="357"/>
      <c r="B39" s="358"/>
      <c r="C39" s="358"/>
      <c r="D39" s="359"/>
      <c r="E39" s="210"/>
      <c r="F39" s="357"/>
      <c r="G39" s="358"/>
      <c r="H39" s="358"/>
      <c r="I39" s="359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</row>
    <row r="40" spans="1:22">
      <c r="A40" s="357"/>
      <c r="B40" s="358"/>
      <c r="C40" s="358"/>
      <c r="D40" s="359"/>
      <c r="E40" s="210"/>
      <c r="F40" s="357"/>
      <c r="G40" s="358"/>
      <c r="H40" s="358"/>
      <c r="I40" s="359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</row>
    <row r="41" spans="1:22" ht="15" thickBot="1">
      <c r="A41" s="360"/>
      <c r="B41" s="361"/>
      <c r="C41" s="361"/>
      <c r="D41" s="362"/>
      <c r="E41" s="210"/>
      <c r="F41" s="360"/>
      <c r="G41" s="361"/>
      <c r="H41" s="361"/>
      <c r="I41" s="362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</row>
    <row r="42" spans="1:22" ht="15" thickTop="1">
      <c r="A42" s="363" t="s">
        <v>5749</v>
      </c>
      <c r="B42" s="364"/>
      <c r="C42" s="364"/>
      <c r="D42" s="365"/>
      <c r="E42" s="212"/>
      <c r="F42" s="363" t="s">
        <v>5750</v>
      </c>
      <c r="G42" s="364"/>
      <c r="H42" s="364"/>
      <c r="I42" s="365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</row>
    <row r="43" spans="1:22">
      <c r="A43" s="366"/>
      <c r="B43" s="367"/>
      <c r="C43" s="367"/>
      <c r="D43" s="368"/>
      <c r="E43" s="212"/>
      <c r="F43" s="366"/>
      <c r="G43" s="367"/>
      <c r="H43" s="367"/>
      <c r="I43" s="368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</row>
    <row r="44" spans="1:22">
      <c r="A44" s="366"/>
      <c r="B44" s="367"/>
      <c r="C44" s="367"/>
      <c r="D44" s="368"/>
      <c r="E44" s="212"/>
      <c r="F44" s="366"/>
      <c r="G44" s="367"/>
      <c r="H44" s="367"/>
      <c r="I44" s="368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</row>
    <row r="45" spans="1:22">
      <c r="A45" s="366"/>
      <c r="B45" s="367"/>
      <c r="C45" s="367"/>
      <c r="D45" s="368"/>
      <c r="E45" s="212"/>
      <c r="F45" s="366"/>
      <c r="G45" s="367"/>
      <c r="H45" s="367"/>
      <c r="I45" s="368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</row>
    <row r="46" spans="1:22" ht="15" thickBot="1">
      <c r="A46" s="369"/>
      <c r="B46" s="370"/>
      <c r="C46" s="370"/>
      <c r="D46" s="371"/>
      <c r="E46" s="212"/>
      <c r="F46" s="369"/>
      <c r="G46" s="370"/>
      <c r="H46" s="370"/>
      <c r="I46" s="371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</row>
    <row r="47" spans="1:22" ht="17.25" thickTop="1">
      <c r="A47" s="214"/>
      <c r="B47" s="213"/>
      <c r="C47" s="213"/>
      <c r="D47" s="215"/>
      <c r="E47" s="213"/>
      <c r="F47" s="214"/>
      <c r="G47" s="213"/>
      <c r="H47" s="213"/>
      <c r="I47" s="215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</row>
    <row r="48" spans="1:22">
      <c r="A48" s="216" t="s">
        <v>5751</v>
      </c>
      <c r="B48" s="372" t="s">
        <v>5752</v>
      </c>
      <c r="C48" s="373"/>
      <c r="D48" s="217">
        <f>SUM(D49:D52)</f>
        <v>0</v>
      </c>
      <c r="E48" s="218"/>
      <c r="F48" s="216" t="s">
        <v>5751</v>
      </c>
      <c r="G48" s="372" t="s">
        <v>5752</v>
      </c>
      <c r="H48" s="373"/>
      <c r="I48" s="217">
        <f>SUM(I49:I52)</f>
        <v>0</v>
      </c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</row>
    <row r="49" spans="1:22" ht="16.5">
      <c r="A49" s="219" t="s">
        <v>5753</v>
      </c>
      <c r="B49" s="220" t="s">
        <v>5754</v>
      </c>
      <c r="C49" s="221"/>
      <c r="D49" s="222"/>
      <c r="E49" s="223"/>
      <c r="F49" s="219" t="s">
        <v>5753</v>
      </c>
      <c r="G49" s="220" t="s">
        <v>5754</v>
      </c>
      <c r="H49" s="221"/>
      <c r="I49" s="222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</row>
    <row r="50" spans="1:22" ht="16.5">
      <c r="A50" s="219" t="s">
        <v>5755</v>
      </c>
      <c r="B50" s="220" t="s">
        <v>5756</v>
      </c>
      <c r="C50" s="221"/>
      <c r="D50" s="222"/>
      <c r="E50" s="223"/>
      <c r="F50" s="219" t="s">
        <v>5755</v>
      </c>
      <c r="G50" s="220" t="s">
        <v>5756</v>
      </c>
      <c r="H50" s="221"/>
      <c r="I50" s="222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</row>
    <row r="51" spans="1:22" ht="16.5">
      <c r="A51" s="219" t="s">
        <v>5757</v>
      </c>
      <c r="B51" s="220" t="s">
        <v>5758</v>
      </c>
      <c r="C51" s="221"/>
      <c r="D51" s="222"/>
      <c r="E51" s="223"/>
      <c r="F51" s="219" t="s">
        <v>5757</v>
      </c>
      <c r="G51" s="220" t="s">
        <v>5758</v>
      </c>
      <c r="H51" s="221"/>
      <c r="I51" s="222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</row>
    <row r="52" spans="1:22" ht="16.5">
      <c r="A52" s="219" t="s">
        <v>5759</v>
      </c>
      <c r="B52" s="223" t="s">
        <v>5760</v>
      </c>
      <c r="C52" s="223"/>
      <c r="D52" s="224"/>
      <c r="E52" s="223"/>
      <c r="F52" s="219" t="s">
        <v>5759</v>
      </c>
      <c r="G52" s="223" t="s">
        <v>5760</v>
      </c>
      <c r="H52" s="223"/>
      <c r="I52" s="224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</row>
    <row r="53" spans="1:22" ht="16.5">
      <c r="A53" s="216" t="s">
        <v>5761</v>
      </c>
      <c r="B53" s="372" t="s">
        <v>5762</v>
      </c>
      <c r="C53" s="373"/>
      <c r="D53" s="217">
        <f>SUM(D54:D57)</f>
        <v>0</v>
      </c>
      <c r="E53" s="218"/>
      <c r="F53" s="216" t="s">
        <v>5761</v>
      </c>
      <c r="G53" s="372" t="s">
        <v>5762</v>
      </c>
      <c r="H53" s="373"/>
      <c r="I53" s="217">
        <f>SUM(I54:I57)</f>
        <v>0</v>
      </c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</row>
    <row r="54" spans="1:22" ht="16.5">
      <c r="A54" s="219" t="s">
        <v>2784</v>
      </c>
      <c r="B54" s="221" t="s">
        <v>5763</v>
      </c>
      <c r="C54" s="226"/>
      <c r="D54" s="227"/>
      <c r="E54" s="223"/>
      <c r="F54" s="219" t="s">
        <v>2784</v>
      </c>
      <c r="G54" s="221" t="s">
        <v>5763</v>
      </c>
      <c r="H54" s="226"/>
      <c r="I54" s="227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</row>
    <row r="55" spans="1:22" ht="16.5">
      <c r="A55" s="219" t="s">
        <v>5764</v>
      </c>
      <c r="B55" s="221" t="s">
        <v>5765</v>
      </c>
      <c r="C55" s="226"/>
      <c r="D55" s="222"/>
      <c r="E55" s="223"/>
      <c r="F55" s="219" t="s">
        <v>5764</v>
      </c>
      <c r="G55" s="221" t="s">
        <v>5765</v>
      </c>
      <c r="H55" s="226"/>
      <c r="I55" s="222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</row>
    <row r="56" spans="1:22" ht="16.5">
      <c r="A56" s="219" t="s">
        <v>5766</v>
      </c>
      <c r="B56" s="221" t="s">
        <v>5767</v>
      </c>
      <c r="C56" s="226"/>
      <c r="D56" s="222"/>
      <c r="E56" s="223"/>
      <c r="F56" s="219" t="s">
        <v>5766</v>
      </c>
      <c r="G56" s="221" t="s">
        <v>5767</v>
      </c>
      <c r="H56" s="226"/>
      <c r="I56" s="222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</row>
    <row r="57" spans="1:22" ht="16.5">
      <c r="A57" s="219" t="s">
        <v>5768</v>
      </c>
      <c r="B57" s="221" t="s">
        <v>5769</v>
      </c>
      <c r="C57" s="226"/>
      <c r="D57" s="222"/>
      <c r="E57" s="223"/>
      <c r="F57" s="219" t="s">
        <v>5768</v>
      </c>
      <c r="G57" s="221" t="s">
        <v>5769</v>
      </c>
      <c r="H57" s="226"/>
      <c r="I57" s="222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</row>
    <row r="58" spans="1:22" ht="16.5">
      <c r="A58" s="216" t="s">
        <v>5770</v>
      </c>
      <c r="B58" s="372" t="s">
        <v>5771</v>
      </c>
      <c r="C58" s="373"/>
      <c r="D58" s="217">
        <f>SUM(D59)</f>
        <v>0</v>
      </c>
      <c r="E58" s="218"/>
      <c r="F58" s="216" t="s">
        <v>5770</v>
      </c>
      <c r="G58" s="372" t="s">
        <v>5771</v>
      </c>
      <c r="H58" s="373"/>
      <c r="I58" s="217">
        <f>SUM(I59)</f>
        <v>0</v>
      </c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</row>
    <row r="59" spans="1:22" ht="16.5">
      <c r="A59" s="219" t="s">
        <v>2786</v>
      </c>
      <c r="B59" s="221" t="s">
        <v>5772</v>
      </c>
      <c r="C59" s="226"/>
      <c r="D59" s="227"/>
      <c r="E59" s="223"/>
      <c r="F59" s="219" t="s">
        <v>2786</v>
      </c>
      <c r="G59" s="221" t="s">
        <v>5772</v>
      </c>
      <c r="H59" s="226"/>
      <c r="I59" s="227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</row>
    <row r="60" spans="1:22" ht="17.25" thickBot="1">
      <c r="A60" s="228"/>
      <c r="B60" s="223"/>
      <c r="C60" s="223"/>
      <c r="D60" s="229"/>
      <c r="E60" s="223"/>
      <c r="F60" s="228"/>
      <c r="G60" s="223"/>
      <c r="H60" s="223"/>
      <c r="I60" s="229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</row>
    <row r="61" spans="1:22" ht="15.75" thickBot="1">
      <c r="A61" s="230" t="s">
        <v>5773</v>
      </c>
      <c r="B61" s="375" t="s">
        <v>5774</v>
      </c>
      <c r="C61" s="376"/>
      <c r="D61" s="231">
        <f>SUM(D48+D53+D58)</f>
        <v>0</v>
      </c>
      <c r="E61" s="232"/>
      <c r="F61" s="230" t="s">
        <v>5773</v>
      </c>
      <c r="G61" s="375" t="s">
        <v>5774</v>
      </c>
      <c r="H61" s="376"/>
      <c r="I61" s="231">
        <f>I48+I53+I58</f>
        <v>0</v>
      </c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</row>
    <row r="62" spans="1:22" ht="54.6" customHeight="1">
      <c r="A62" s="377" t="s">
        <v>5777</v>
      </c>
      <c r="B62" s="378"/>
      <c r="C62" s="378"/>
      <c r="D62" s="379"/>
      <c r="E62" s="233"/>
      <c r="F62" s="377" t="s">
        <v>5777</v>
      </c>
      <c r="G62" s="378"/>
      <c r="H62" s="378"/>
      <c r="I62" s="379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</row>
    <row r="63" spans="1:22" ht="16.5">
      <c r="A63" s="380"/>
      <c r="B63" s="381"/>
      <c r="C63" s="381"/>
      <c r="D63" s="382"/>
      <c r="E63" s="213"/>
      <c r="F63" s="380"/>
      <c r="G63" s="381"/>
      <c r="H63" s="381"/>
      <c r="I63" s="382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</row>
    <row r="64" spans="1:22" ht="34.15" customHeight="1" thickBot="1">
      <c r="A64" s="383"/>
      <c r="B64" s="384"/>
      <c r="C64" s="384"/>
      <c r="D64" s="385"/>
      <c r="E64" s="213"/>
      <c r="F64" s="383"/>
      <c r="G64" s="384"/>
      <c r="H64" s="384"/>
      <c r="I64" s="385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</row>
    <row r="65" spans="1:9" ht="213" customHeight="1">
      <c r="A65" s="344" t="s">
        <v>5778</v>
      </c>
      <c r="B65" s="344"/>
      <c r="C65" s="344"/>
      <c r="D65" s="344"/>
      <c r="E65" s="344"/>
      <c r="F65" s="344"/>
      <c r="G65" s="344"/>
      <c r="H65" s="344"/>
      <c r="I65" s="344"/>
    </row>
  </sheetData>
  <mergeCells count="35">
    <mergeCell ref="A62:D64"/>
    <mergeCell ref="F62:I64"/>
    <mergeCell ref="B48:C48"/>
    <mergeCell ref="G48:H48"/>
    <mergeCell ref="B53:C53"/>
    <mergeCell ref="G53:H53"/>
    <mergeCell ref="B58:C58"/>
    <mergeCell ref="G58:H58"/>
    <mergeCell ref="A37:D41"/>
    <mergeCell ref="F37:I41"/>
    <mergeCell ref="A42:D46"/>
    <mergeCell ref="F42:I46"/>
    <mergeCell ref="B61:C61"/>
    <mergeCell ref="G61:H61"/>
    <mergeCell ref="A29:D31"/>
    <mergeCell ref="F29:I31"/>
    <mergeCell ref="E32:F32"/>
    <mergeCell ref="A34:D36"/>
    <mergeCell ref="F34:I36"/>
    <mergeCell ref="A65:I65"/>
    <mergeCell ref="A1:D3"/>
    <mergeCell ref="F1:I3"/>
    <mergeCell ref="A4:D8"/>
    <mergeCell ref="F4:I8"/>
    <mergeCell ref="A9:D13"/>
    <mergeCell ref="F9:I13"/>
    <mergeCell ref="B15:C15"/>
    <mergeCell ref="G15:H15"/>
    <mergeCell ref="B20:C20"/>
    <mergeCell ref="G20:H20"/>
    <mergeCell ref="B25:C25"/>
    <mergeCell ref="G25:H25"/>
    <mergeCell ref="E33:F33"/>
    <mergeCell ref="B28:C28"/>
    <mergeCell ref="G28:H28"/>
  </mergeCells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ORÇAMENTO SINTETICO</vt:lpstr>
      <vt:lpstr>Memória</vt:lpstr>
      <vt:lpstr>CRONOGRAMA</vt:lpstr>
      <vt:lpstr>BDI</vt:lpstr>
      <vt:lpstr>BDI!Area_de_impressao</vt:lpstr>
      <vt:lpstr>CRONOGRAMA!Area_de_impressao</vt:lpstr>
      <vt:lpstr>Memória!Area_de_impressao</vt:lpstr>
      <vt:lpstr>'ORÇAMENTO SINTETICO'!Area_de_impressao</vt:lpstr>
      <vt:lpstr>Memória!Titulos_de_impressao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Nathalia Gabriela Sales Maciel</cp:lastModifiedBy>
  <cp:revision>1</cp:revision>
  <cp:lastPrinted>2025-10-07T13:49:38Z</cp:lastPrinted>
  <dcterms:created xsi:type="dcterms:W3CDTF">2024-07-08T23:41:19Z</dcterms:created>
  <dcterms:modified xsi:type="dcterms:W3CDTF">2025-10-08T13:54:04Z</dcterms:modified>
  <cp:category/>
  <cp:contentStatus/>
</cp:coreProperties>
</file>